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99" firstSheet="5" activeTab="18"/>
  </bookViews>
  <sheets>
    <sheet name="Амортизация" sheetId="1" state="hidden" r:id="rId1"/>
    <sheet name="Примечание" sheetId="2" r:id="rId2"/>
    <sheet name="Общие сведения об организации" sheetId="3" r:id="rId3"/>
    <sheet name="стр.1.1-1.3" sheetId="4" r:id="rId4"/>
    <sheet name="стр.2.1" sheetId="5" r:id="rId5"/>
    <sheet name="стр.2.2" sheetId="6" r:id="rId6"/>
    <sheet name="стр.2.3-2.4" sheetId="7" r:id="rId7"/>
    <sheet name="стр.2.5" sheetId="8" r:id="rId8"/>
    <sheet name="стр.2.6" sheetId="9" r:id="rId9"/>
    <sheet name="стр.2.7" sheetId="10" r:id="rId10"/>
    <sheet name="стр.2.8" sheetId="11" r:id="rId11"/>
    <sheet name="стр.2.9" sheetId="12" r:id="rId12"/>
    <sheet name="стр.2.10" sheetId="13" r:id="rId13"/>
    <sheet name="стр.2.11" sheetId="14" r:id="rId14"/>
    <sheet name="стр.2.12" sheetId="15" r:id="rId15"/>
    <sheet name="стр.2.13" sheetId="16" r:id="rId16"/>
    <sheet name="стр.2.14" sheetId="17" r:id="rId17"/>
    <sheet name="Доходы" sheetId="18" r:id="rId18"/>
    <sheet name="Перемещение " sheetId="19" r:id="rId19"/>
  </sheets>
  <definedNames/>
  <calcPr fullCalcOnLoad="1"/>
</workbook>
</file>

<file path=xl/sharedStrings.xml><?xml version="1.0" encoding="utf-8"?>
<sst xmlns="http://schemas.openxmlformats.org/spreadsheetml/2006/main" count="741" uniqueCount="338">
  <si>
    <t>шт</t>
  </si>
  <si>
    <t xml:space="preserve">Всего      </t>
  </si>
  <si>
    <t xml:space="preserve">Марка автобуса     </t>
  </si>
  <si>
    <t>Андаре 1000</t>
  </si>
  <si>
    <t>Hundai UNIVERSE SPASE</t>
  </si>
  <si>
    <t>HIGER 6109</t>
  </si>
  <si>
    <t>HIGER 6119</t>
  </si>
  <si>
    <t>HIGER 6129</t>
  </si>
  <si>
    <t>Голаз - 52913</t>
  </si>
  <si>
    <t>Голаз - 52911</t>
  </si>
  <si>
    <t>Общий пробег в 2014 год, км.</t>
  </si>
  <si>
    <t>Вольво В10М65</t>
  </si>
  <si>
    <t>Лиаз 525623-01</t>
  </si>
  <si>
    <t>2036,2037,2038,2039,2566</t>
  </si>
  <si>
    <t>2506,2550,2551</t>
  </si>
  <si>
    <t>2503,2504,2088,2089,2557,2562,2563,2561</t>
  </si>
  <si>
    <t>2552,2553,2554,2556</t>
  </si>
  <si>
    <t>2533,2544,2086</t>
  </si>
  <si>
    <t>2508,2509,2510</t>
  </si>
  <si>
    <t>Амортизация на 1 км.пробега</t>
  </si>
  <si>
    <t>Гаражный номер</t>
  </si>
  <si>
    <t>Сумма амортизации за 2014 год</t>
  </si>
  <si>
    <t>В заявке</t>
  </si>
  <si>
    <t>1.</t>
  </si>
  <si>
    <t>1.1.</t>
  </si>
  <si>
    <t>1.2.</t>
  </si>
  <si>
    <t>1.3.</t>
  </si>
  <si>
    <t>2.</t>
  </si>
  <si>
    <t>3.</t>
  </si>
  <si>
    <t>ед.</t>
  </si>
  <si>
    <t>км</t>
  </si>
  <si>
    <t>4.</t>
  </si>
  <si>
    <t>Приложение 1</t>
  </si>
  <si>
    <t>Субъект РФ</t>
  </si>
  <si>
    <t>Ставропольский край</t>
  </si>
  <si>
    <t>Является ли данное юридическое лицо подразделением(филиалом) другой организации</t>
  </si>
  <si>
    <t>ИНН</t>
  </si>
  <si>
    <t>КПП</t>
  </si>
  <si>
    <t>Муниципальный район</t>
  </si>
  <si>
    <t>Муниципальное образование</t>
  </si>
  <si>
    <t>Режим налогообложения</t>
  </si>
  <si>
    <t>Общий</t>
  </si>
  <si>
    <t>ЕНВД</t>
  </si>
  <si>
    <t>УСН (доходы)</t>
  </si>
  <si>
    <t>УСН (доходы-расходы)</t>
  </si>
  <si>
    <t>Адрес организации</t>
  </si>
  <si>
    <t>Юридический адрес:</t>
  </si>
  <si>
    <t>Почтовый адрес:</t>
  </si>
  <si>
    <t>e-mail: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</si>
  <si>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</si>
  <si>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</si>
  <si>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</si>
  <si>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</si>
  <si>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</si>
  <si>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</si>
  <si>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 xml:space="preserve"> указать:  да или нет</t>
  </si>
  <si>
    <t>ТЕХНИКО-ЭКОНОМИЧЕСКИЕ ПОКАЗАТЕЛИ</t>
  </si>
  <si>
    <t>Общий пробег</t>
  </si>
  <si>
    <t>тыс. км</t>
  </si>
  <si>
    <t>Количество задержанных ТС</t>
  </si>
  <si>
    <t>Среднее расстояние транспортировки одного задержанного ТС</t>
  </si>
  <si>
    <t xml:space="preserve">СЕБЕСТОИМОСТЬ </t>
  </si>
  <si>
    <t>2.1.</t>
  </si>
  <si>
    <t>Топливо</t>
  </si>
  <si>
    <t>тыс.руб.</t>
  </si>
  <si>
    <t>2.2.</t>
  </si>
  <si>
    <t>2.3.</t>
  </si>
  <si>
    <t>Оплата труда</t>
  </si>
  <si>
    <t>2.3.1</t>
  </si>
  <si>
    <t>Кол-во водителей и стропольщиков</t>
  </si>
  <si>
    <t>2.3.2</t>
  </si>
  <si>
    <t>Средняя ЗП водителя и стропольщика</t>
  </si>
  <si>
    <t xml:space="preserve"> руб.</t>
  </si>
  <si>
    <t>2.4.</t>
  </si>
  <si>
    <t>Отчисления на социальные нужды</t>
  </si>
  <si>
    <t>2.5.</t>
  </si>
  <si>
    <t>Содержание и ремонт , в т.ч.</t>
  </si>
  <si>
    <t>2.5.1</t>
  </si>
  <si>
    <t>Смазочные и прочие эксплуатационные материалы</t>
  </si>
  <si>
    <t>2.5.2</t>
  </si>
  <si>
    <t>Восстановление износа и ремонт автомобильных шин</t>
  </si>
  <si>
    <t>2.5.3</t>
  </si>
  <si>
    <t>ТО и ремонт</t>
  </si>
  <si>
    <t>2.6.</t>
  </si>
  <si>
    <t>Обязательное страхование</t>
  </si>
  <si>
    <t>2.7.</t>
  </si>
  <si>
    <t>Спецодежда, инструмент, инвентарь</t>
  </si>
  <si>
    <t>2.8.</t>
  </si>
  <si>
    <t>Налоги и сборы, плата за негативное воздействие на окружающую среду</t>
  </si>
  <si>
    <t xml:space="preserve">2.9. </t>
  </si>
  <si>
    <t>2.10.</t>
  </si>
  <si>
    <t>2.11.</t>
  </si>
  <si>
    <t>Проценты за пользование заемными средствами</t>
  </si>
  <si>
    <t>2.12.</t>
  </si>
  <si>
    <t xml:space="preserve">Обеспечение возможности владельцев задержанных ТС вносить </t>
  </si>
  <si>
    <t>оплату за  перемещение задержанных ТС</t>
  </si>
  <si>
    <t>2.13.</t>
  </si>
  <si>
    <t>Иные расходы</t>
  </si>
  <si>
    <t>ИТОГО РАСХОДЫ (не включая безнадежные долги)</t>
  </si>
  <si>
    <t>2.14.</t>
  </si>
  <si>
    <t>тыс. руб.</t>
  </si>
  <si>
    <t>3.1.</t>
  </si>
  <si>
    <t>ВСЕГО РАСХОДОВ (с учетом безнадежных долгов)</t>
  </si>
  <si>
    <t>№ п/п</t>
  </si>
  <si>
    <t>Наименование показателей</t>
  </si>
  <si>
    <t>Ед. изм.</t>
  </si>
  <si>
    <t>Факт 2019</t>
  </si>
  <si>
    <t>План 2021</t>
  </si>
  <si>
    <t>руб./авто.</t>
  </si>
  <si>
    <t xml:space="preserve">Руководитель организации </t>
  </si>
  <si>
    <t>(индивидуальный предприниматель)</t>
  </si>
  <si>
    <t>МП</t>
  </si>
  <si>
    <t>Справочно: установленный тариф РТК Ставропольского края</t>
  </si>
  <si>
    <r>
      <t>Наименование организации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или                                              ФИО  индивидуального предпринимателя</t>
    </r>
  </si>
  <si>
    <t xml:space="preserve"> руб./ авто.</t>
  </si>
  <si>
    <t>Амортизация транспортных средств</t>
  </si>
  <si>
    <t>Содержание диспетчерского персонала (не более 10% от затрат)</t>
  </si>
  <si>
    <t>Безнадежные долги ( не более 2% от затрат)</t>
  </si>
  <si>
    <t>Содержание аппарата управления (не более 15% от затрат)</t>
  </si>
  <si>
    <t>№</t>
  </si>
  <si>
    <t>Марка ТС</t>
  </si>
  <si>
    <t>Пробег, км</t>
  </si>
  <si>
    <t>за 1 л</t>
  </si>
  <si>
    <t>Итого</t>
  </si>
  <si>
    <t>Наименование</t>
  </si>
  <si>
    <t xml:space="preserve">основных  </t>
  </si>
  <si>
    <t>фондов</t>
  </si>
  <si>
    <t xml:space="preserve">Дата    </t>
  </si>
  <si>
    <t>ввода в</t>
  </si>
  <si>
    <t>эксплуа-</t>
  </si>
  <si>
    <t>тацию</t>
  </si>
  <si>
    <t>Балансовая</t>
  </si>
  <si>
    <t>стоимость,</t>
  </si>
  <si>
    <t>руб.</t>
  </si>
  <si>
    <t>Норма  амортизац.</t>
  </si>
  <si>
    <t>отчислений,</t>
  </si>
  <si>
    <t>%</t>
  </si>
  <si>
    <t xml:space="preserve">Итого       </t>
  </si>
  <si>
    <t>профессии</t>
  </si>
  <si>
    <t>чел.</t>
  </si>
  <si>
    <t>Среднемесячная</t>
  </si>
  <si>
    <t xml:space="preserve">зарплата на  </t>
  </si>
  <si>
    <t>1 работающего,</t>
  </si>
  <si>
    <t>Наименование запасных</t>
  </si>
  <si>
    <t xml:space="preserve">частей, материалов,  </t>
  </si>
  <si>
    <t>услуг</t>
  </si>
  <si>
    <t xml:space="preserve">Норма  </t>
  </si>
  <si>
    <t>Цена за ед.,</t>
  </si>
  <si>
    <t>с учетом анализа уровня расходов других исполнителей услуг, осуществляющих аналогичные виды деятельности в в сопоставимых условиях.</t>
  </si>
  <si>
    <t>используемые для перемещения задержанных транспортных средств, по данным завода-изготовителя и среднегодового пробега,</t>
  </si>
  <si>
    <t xml:space="preserve">Затраты на топливо исходя из технической документации на транспортные средства, </t>
  </si>
  <si>
    <t>Затраты на амортизацию автомобилей-эвакуаторов либо лизинговые платежи при условии приобретения автомобилей-эвакуаторов за счет лизинга</t>
  </si>
  <si>
    <t xml:space="preserve">не превышающая проценты по долговым обязательствам, включаемые в состав затрат в целях </t>
  </si>
  <si>
    <t xml:space="preserve">При этом, в случае приобретения автомобилей-эвакуаторов за счет лизинга, кредита, займа, учитывается величина процентов по финансированию, </t>
  </si>
  <si>
    <t xml:space="preserve">Затраты на отчисления на социальные нужды персонала, занятого при погрузке-разгрузке и транспортировке задержанных транспортных средств,  </t>
  </si>
  <si>
    <t>в том числе затраты на технологические жидкости для автомобилей-эвакуаторов - в соответствии с рекомендациями заводов-изготовителей используемых транспортных средств-эвакуаторов.</t>
  </si>
  <si>
    <t xml:space="preserve">Расходы по данной статье в годовом выражении не должны превышать 25% остаточной стоимости транспортных средств, </t>
  </si>
  <si>
    <t xml:space="preserve">добровольное страхование гражданской ответственности владельцев автотранспортных средств, страхование </t>
  </si>
  <si>
    <t>услуги связи для водителей, на использование средств фото- и видеофиксации и иных технических средств, необходимых для осуществления деятельности по перемещению задержанных транспортных средств.</t>
  </si>
  <si>
    <t>а также затраты на медосмотр водителей, на бланки строгой отчетности, на установку этикеток и пленки для оклейки транспортных средств в процессе перемещения,</t>
  </si>
  <si>
    <t xml:space="preserve">Затраты на спецодежду, инструмент, инвентарь, используемые персоналом при погрузке-разгрузке и перемещении задержанных транспортных средств, </t>
  </si>
  <si>
    <t>Затраты на спецодежду определяются с учетом нормативов, определенных приказом Минздравсоцразвития России от 22.06.2009 N 357н</t>
  </si>
  <si>
    <t>"Об утверждении Типовых норм бесплатной выдачи специальной одежды, специальной обуви и других средств индивидуальной защиты работникам,</t>
  </si>
  <si>
    <t xml:space="preserve"> (зарегистрирован Минюстом России 01.09.2009, регистрационный N 14683), с изменениями, внесенными приказом Минтруда России от 20.02.2014 N 103н  </t>
  </si>
  <si>
    <t xml:space="preserve">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 , </t>
  </si>
  <si>
    <t xml:space="preserve"> (зарегистрирован Минюстом России 15.05.2014, регистрационный N 32284).</t>
  </si>
  <si>
    <t>а также плата за негативное воздействие на окружающую среду в пределах нормативов допустимых выбросов.</t>
  </si>
  <si>
    <t xml:space="preserve">Затраты на налоги и сборы согласно законодательству о налогах и сборах Российской Федерации, </t>
  </si>
  <si>
    <t>расходы на оплату труда, отчисления на социальные нужды, обеспечение помещениями (расходы на аренду, определенные исходя из амортизации и налога на имущество, коммунальные услуги),</t>
  </si>
  <si>
    <t>указанные затраты не должны превышать 10% затрат исполнителей услуг, учтенных органом регулирования в тарифах.</t>
  </si>
  <si>
    <t>Затраты на содержание (в том числе хранение) и ремонт автомобилей-эвакуаторов, занятых при транспортировке задержанных транспортных средств,</t>
  </si>
  <si>
    <t xml:space="preserve">Затраты на обязательное страхование ответственности владельцев транспортных средств в соответствии с законодательством Российской Федерации,  </t>
  </si>
  <si>
    <t xml:space="preserve">Затраты на содержание диспетчерского персонала с учетом численности, необходимой для осуществления деятельности по перемещению </t>
  </si>
  <si>
    <t xml:space="preserve">Затраты на содержание аппарата управления, в доле, относящейся на перемещение задержанных транспортных средств в соответствии с учетной политикой, </t>
  </si>
  <si>
    <t xml:space="preserve"> (расходы на аренду, определенные исходя из амортизации и налога на имущество, коммунальные услуги, услуги связи),</t>
  </si>
  <si>
    <t xml:space="preserve"> ремонт и обслуживание организационной техники, программное обеспечение и его поддержка, </t>
  </si>
  <si>
    <t xml:space="preserve"> указанные затраты не должны превышать 15% затрат исполнителей услуг, учтенных органом регулирования в тарифах.</t>
  </si>
  <si>
    <t>Затраты на проценты за пользование заемными средствами, учитываемые при расчете базового уровня тарифов в размере,</t>
  </si>
  <si>
    <t>не превышающем проценты по долговым обязательствам, включаемые в состав затрат в целях налогообложени</t>
  </si>
  <si>
    <t>исходя из положений пункта 1.2 части 1 статьи 269 Налогового кодекса Российской Федерации</t>
  </si>
  <si>
    <t>(Собрание законодательства Российской Федерации, 2002, N 22, ст. 2026, 2013, N 52 (часть I), ст. 6985).</t>
  </si>
  <si>
    <t xml:space="preserve">Затраты на иные расходы, обязанность несения которых предусмотрена законодательством Российской Федерации </t>
  </si>
  <si>
    <t xml:space="preserve">Затраты на безнадежные долги в размере, не превышающем двух процентов от затрат исполнителей услуг, </t>
  </si>
  <si>
    <t>Тип транспортного средства</t>
  </si>
  <si>
    <t>Факт</t>
  </si>
  <si>
    <t xml:space="preserve">1.  </t>
  </si>
  <si>
    <t xml:space="preserve">Категория A                               </t>
  </si>
  <si>
    <t xml:space="preserve">2.  </t>
  </si>
  <si>
    <t xml:space="preserve">Категория B и D массой до 3,5 тонны       </t>
  </si>
  <si>
    <t xml:space="preserve">3.  </t>
  </si>
  <si>
    <t xml:space="preserve">Категория D массой более 3,5 тонны, C и E </t>
  </si>
  <si>
    <t xml:space="preserve">4.  </t>
  </si>
  <si>
    <t xml:space="preserve">Негабаритные транспортные средства        </t>
  </si>
  <si>
    <t xml:space="preserve">5.  </t>
  </si>
  <si>
    <t xml:space="preserve">ИТОГО транспортных средств                </t>
  </si>
  <si>
    <t xml:space="preserve">План </t>
  </si>
  <si>
    <t xml:space="preserve">№ </t>
  </si>
  <si>
    <t>Моторные масла</t>
  </si>
  <si>
    <t>Трансмиссионные масла</t>
  </si>
  <si>
    <t> Итого</t>
  </si>
  <si>
    <t>Специальные масла</t>
  </si>
  <si>
    <t>Пластические смазки</t>
  </si>
  <si>
    <t>Норма эксплуат. пробега</t>
  </si>
  <si>
    <t>Кол-во шин</t>
  </si>
  <si>
    <t>Потребность в шинах</t>
  </si>
  <si>
    <t>Численность,</t>
  </si>
  <si>
    <t xml:space="preserve">Отчисления </t>
  </si>
  <si>
    <t>на социальные</t>
  </si>
  <si>
    <t xml:space="preserve">Итого                   </t>
  </si>
  <si>
    <t xml:space="preserve">Наименование </t>
  </si>
  <si>
    <t>5.</t>
  </si>
  <si>
    <t>6.</t>
  </si>
  <si>
    <t>Ед.изм.</t>
  </si>
  <si>
    <t xml:space="preserve">из журнала </t>
  </si>
  <si>
    <t>регистрации ТС</t>
  </si>
  <si>
    <r>
      <t xml:space="preserve">Цена шины, </t>
    </r>
    <r>
      <rPr>
        <sz val="14"/>
        <color indexed="17"/>
        <rFont val="Times New Roman"/>
        <family val="1"/>
      </rPr>
      <t>руб.</t>
    </r>
  </si>
  <si>
    <r>
      <t xml:space="preserve">Затраты, </t>
    </r>
    <r>
      <rPr>
        <sz val="14"/>
        <color indexed="17"/>
        <rFont val="Times New Roman"/>
        <family val="1"/>
      </rPr>
      <t>тыс. руб.</t>
    </r>
  </si>
  <si>
    <t>7.</t>
  </si>
  <si>
    <t>8.</t>
  </si>
  <si>
    <t>9.</t>
  </si>
  <si>
    <t>10.</t>
  </si>
  <si>
    <t>Годовой фонд</t>
  </si>
  <si>
    <t xml:space="preserve">оплаты труда, </t>
  </si>
  <si>
    <t xml:space="preserve"> нужды за год,</t>
  </si>
  <si>
    <t>Затраты за год,</t>
  </si>
  <si>
    <t>данные</t>
  </si>
  <si>
    <t>Наименование  налога и сбора</t>
  </si>
  <si>
    <t>задержанных транспортных средств, в том числе установление и эксплуатацию системы отслеживания автомобилей-эвакуаторов,</t>
  </si>
  <si>
    <t>в том числе расходы на оплату труда, отчисления на социальные нужды, обеспечение помещениями</t>
  </si>
  <si>
    <t xml:space="preserve"> приобретенных за счет лизинга, на балансе лизингополучателя - лизинговые платежи за вычетом суммы амортизации по этому имуществу.</t>
  </si>
  <si>
    <t>и учете автомобилей-эвакуаторов на балансе у лизинговой компании, а в случае учета автомобилей-эвакуаторов,</t>
  </si>
  <si>
    <t xml:space="preserve">налогообложения исходя из положений пункта 1.2 части 1 статьи 269 Налогового кодекса Российской Федерации </t>
  </si>
  <si>
    <t>Затраты на оплату труда персонала, занятого при погрузке-разгрузке и транспортировке задержанных транспортных средств.</t>
  </si>
  <si>
    <t xml:space="preserve"> (Собрание законодательства Российской Федерации, 2002, N 22, ст. 2026, 2013, N 52 (часть I), ст. 6985).</t>
  </si>
  <si>
    <t>в том числе на обязательное социальное страхование от несчастных случаев на производстве и и  профессиональных заболеваний.</t>
  </si>
  <si>
    <t>эксплуатируемых в целях осуществления деятельности по перемещению задержанных транспортных средств.</t>
  </si>
  <si>
    <t>страхование ответственности за вред, причиненный задержанному транспортному средству при его перемещении.</t>
  </si>
  <si>
    <t>Затраты на обеспечение возможности владельцев перемещенных транспортных средств вносить оплату за перемещение задержанных транспортных средств.</t>
  </si>
  <si>
    <t>в связи с осуществлением деятельности по перемещению задержанных транспортных средств.</t>
  </si>
  <si>
    <t xml:space="preserve"> учтенных органом регулирования при определении базового уровня тарифов.</t>
  </si>
  <si>
    <t>ВНИМАНИЕ!</t>
  </si>
  <si>
    <t>2.1</t>
  </si>
  <si>
    <t>2.2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</si>
  <si>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</si>
  <si>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</si>
  <si>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</si>
  <si>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</si>
  <si>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</si>
  <si>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</si>
  <si>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</si>
  <si>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</si>
  <si>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</si>
  <si>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</si>
  <si>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r>
      <t xml:space="preserve">Телефон  РТК Ставропольского края : </t>
    </r>
    <r>
      <rPr>
        <b/>
        <sz val="14"/>
        <color indexed="10"/>
        <rFont val="Times New Roman"/>
        <family val="1"/>
      </rPr>
      <t>8-8652-24-34-41</t>
    </r>
  </si>
  <si>
    <t>Топоркова Валентина Викторовна</t>
  </si>
  <si>
    <t>Расчет тарифов на перемещение задержанных транспортных средств</t>
  </si>
  <si>
    <t xml:space="preserve">Расчет тарифов на перемещение задержанных транспортных средств </t>
  </si>
  <si>
    <t xml:space="preserve">Сумма амортизац. </t>
  </si>
  <si>
    <t>ность,</t>
  </si>
  <si>
    <t>Числен-</t>
  </si>
  <si>
    <t>Страницы №</t>
  </si>
  <si>
    <r>
      <t xml:space="preserve">Затраты за год, </t>
    </r>
    <r>
      <rPr>
        <sz val="14"/>
        <color indexed="17"/>
        <rFont val="Times New Roman"/>
        <family val="1"/>
      </rPr>
      <t>тыс.руб.</t>
    </r>
  </si>
  <si>
    <t>Базовый уровень тарифа за 1 задержанных ТС</t>
  </si>
  <si>
    <t>1.1-1.3</t>
  </si>
  <si>
    <t>2.3-2.4</t>
  </si>
  <si>
    <t>Факт 2020</t>
  </si>
  <si>
    <r>
      <t xml:space="preserve">Пробег, </t>
    </r>
    <r>
      <rPr>
        <sz val="14"/>
        <color indexed="17"/>
        <rFont val="Times New Roman"/>
        <family val="1"/>
      </rPr>
      <t>км</t>
    </r>
  </si>
  <si>
    <r>
      <t xml:space="preserve">Расход топлива на пробег, л       </t>
    </r>
    <r>
      <rPr>
        <sz val="14"/>
        <color indexed="10"/>
        <rFont val="Times New Roman"/>
        <family val="1"/>
      </rPr>
      <t>(графа 3 * графа 4/100)</t>
    </r>
  </si>
  <si>
    <r>
      <t xml:space="preserve">Норма расхода топлива, </t>
    </r>
    <r>
      <rPr>
        <sz val="14"/>
        <color indexed="17"/>
        <rFont val="Times New Roman"/>
        <family val="1"/>
      </rPr>
      <t>л/100 км</t>
    </r>
  </si>
  <si>
    <t xml:space="preserve"> нужды,</t>
  </si>
  <si>
    <t xml:space="preserve">Расход топлива, л </t>
  </si>
  <si>
    <r>
      <t xml:space="preserve">Цена топлива, </t>
    </r>
    <r>
      <rPr>
        <sz val="14"/>
        <color indexed="17"/>
        <rFont val="Times New Roman"/>
        <family val="1"/>
      </rPr>
      <t>руб.</t>
    </r>
  </si>
  <si>
    <r>
      <t>Всего затраты на топливо,</t>
    </r>
    <r>
      <rPr>
        <sz val="14"/>
        <color indexed="30"/>
        <rFont val="Times New Roman"/>
        <family val="1"/>
      </rPr>
      <t xml:space="preserve"> </t>
    </r>
    <r>
      <rPr>
        <sz val="14"/>
        <color indexed="17"/>
        <rFont val="Times New Roman"/>
        <family val="1"/>
      </rPr>
      <t>тыс. руб.</t>
    </r>
  </si>
  <si>
    <r>
      <t xml:space="preserve">Цена, </t>
    </r>
    <r>
      <rPr>
        <sz val="14"/>
        <color indexed="17"/>
        <rFont val="Times New Roman"/>
        <family val="1"/>
      </rPr>
      <t>руб.</t>
    </r>
  </si>
  <si>
    <r>
      <t xml:space="preserve">Затраты, </t>
    </r>
    <r>
      <rPr>
        <sz val="14"/>
        <color indexed="17"/>
        <rFont val="Times New Roman"/>
        <family val="1"/>
      </rPr>
      <t>руб.</t>
    </r>
  </si>
  <si>
    <r>
      <t>Цена,</t>
    </r>
    <r>
      <rPr>
        <sz val="14"/>
        <color indexed="17"/>
        <rFont val="Times New Roman"/>
        <family val="1"/>
      </rPr>
      <t xml:space="preserve"> </t>
    </r>
    <r>
      <rPr>
        <sz val="14"/>
        <color indexed="17"/>
        <rFont val="Times New Roman"/>
        <family val="1"/>
      </rPr>
      <t>руб.</t>
    </r>
  </si>
  <si>
    <r>
      <t>Затраты,</t>
    </r>
    <r>
      <rPr>
        <sz val="14"/>
        <color indexed="17"/>
        <rFont val="Times New Roman"/>
        <family val="1"/>
      </rPr>
      <t xml:space="preserve"> руб.</t>
    </r>
  </si>
  <si>
    <r>
      <t xml:space="preserve">Цена, </t>
    </r>
    <r>
      <rPr>
        <sz val="14"/>
        <color indexed="17"/>
        <rFont val="Times New Roman"/>
        <family val="1"/>
      </rPr>
      <t>руб</t>
    </r>
    <r>
      <rPr>
        <sz val="14"/>
        <color indexed="17"/>
        <rFont val="Times New Roman"/>
        <family val="1"/>
      </rPr>
      <t>.</t>
    </r>
  </si>
  <si>
    <r>
      <t>Затраты,</t>
    </r>
    <r>
      <rPr>
        <sz val="14"/>
        <color indexed="40"/>
        <rFont val="Times New Roman"/>
        <family val="1"/>
      </rPr>
      <t xml:space="preserve"> руб</t>
    </r>
    <r>
      <rPr>
        <sz val="14"/>
        <color indexed="8"/>
        <rFont val="Times New Roman"/>
        <family val="1"/>
      </rPr>
      <t>.</t>
    </r>
  </si>
  <si>
    <r>
      <t xml:space="preserve">Всего затраты, </t>
    </r>
    <r>
      <rPr>
        <sz val="14"/>
        <color indexed="17"/>
        <rFont val="Times New Roman"/>
        <family val="1"/>
      </rPr>
      <t>тыс. руб.</t>
    </r>
  </si>
  <si>
    <r>
      <t xml:space="preserve">Затраты на обязательное страхование за год,                  </t>
    </r>
    <r>
      <rPr>
        <sz val="14"/>
        <color indexed="17"/>
        <rFont val="Times New Roman"/>
        <family val="1"/>
      </rPr>
      <t xml:space="preserve">   тыс. руб.</t>
    </r>
  </si>
  <si>
    <r>
      <t xml:space="preserve">Затраты за год, </t>
    </r>
    <r>
      <rPr>
        <sz val="14"/>
        <color indexed="17"/>
        <rFont val="Times New Roman"/>
        <family val="1"/>
      </rPr>
      <t>тыс.руб.</t>
    </r>
  </si>
  <si>
    <r>
      <t>Затраты за год,</t>
    </r>
    <r>
      <rPr>
        <sz val="14"/>
        <color indexed="17"/>
        <rFont val="Times New Roman"/>
        <family val="1"/>
      </rPr>
      <t xml:space="preserve"> тыс.руб.</t>
    </r>
  </si>
  <si>
    <r>
      <t xml:space="preserve">Расход, л </t>
    </r>
    <r>
      <rPr>
        <sz val="14"/>
        <color indexed="10"/>
        <rFont val="Times New Roman"/>
        <family val="1"/>
      </rPr>
      <t>(графа 4*норма/100)</t>
    </r>
  </si>
  <si>
    <t>расхода на км,</t>
  </si>
  <si>
    <r>
      <t xml:space="preserve">Затраты, </t>
    </r>
    <r>
      <rPr>
        <sz val="14"/>
        <color indexed="17"/>
        <rFont val="Times New Roman"/>
        <family val="1"/>
      </rPr>
      <t>тыс. руб.</t>
    </r>
  </si>
  <si>
    <t>Заполняются  желтые ячейки страницы!</t>
  </si>
  <si>
    <t>Заполняются только  ячейки страницы!</t>
  </si>
  <si>
    <t>Заполняются желтые ячейки страницы!</t>
  </si>
  <si>
    <r>
      <t xml:space="preserve">соответствуют строкам расчета тарифов на перемещение задержанных транспортных средств </t>
    </r>
    <r>
      <rPr>
        <b/>
        <sz val="14"/>
        <color indexed="53"/>
        <rFont val="Times New Roman"/>
        <family val="1"/>
      </rPr>
      <t>(страница "Перемещение")</t>
    </r>
  </si>
  <si>
    <t xml:space="preserve"> Страница "Перемещение" расчитывается автомотически после заполнения всех страниц !</t>
  </si>
  <si>
    <r>
      <rPr>
        <sz val="14"/>
        <color indexed="8"/>
        <rFont val="Times New Roman"/>
        <family val="1"/>
      </rPr>
      <t xml:space="preserve">Органиция ( или индивидуальный предприниматель) могут </t>
    </r>
    <r>
      <rPr>
        <sz val="14"/>
        <color indexed="30"/>
        <rFont val="Times New Roman"/>
        <family val="1"/>
      </rPr>
      <t xml:space="preserve"> </t>
    </r>
    <r>
      <rPr>
        <b/>
        <sz val="14"/>
        <color indexed="30"/>
        <rFont val="Times New Roman"/>
        <family val="1"/>
      </rPr>
      <t xml:space="preserve">самостоятельно дополнить  расчетами и  примечаниями </t>
    </r>
    <r>
      <rPr>
        <sz val="14"/>
        <color indexed="30"/>
        <rFont val="Times New Roman"/>
        <family val="1"/>
      </rPr>
      <t>!</t>
    </r>
  </si>
  <si>
    <t>Виды деятельности</t>
  </si>
  <si>
    <t>Перемещение</t>
  </si>
  <si>
    <t>Хранение</t>
  </si>
  <si>
    <t>Доходы по видам деятельности</t>
  </si>
  <si>
    <r>
      <rPr>
        <sz val="14"/>
        <color indexed="8"/>
        <rFont val="Times New Roman"/>
        <family val="1"/>
      </rPr>
      <t>Обратите внимание</t>
    </r>
    <r>
      <rPr>
        <sz val="14"/>
        <color indexed="17"/>
        <rFont val="Times New Roman"/>
        <family val="1"/>
      </rPr>
      <t xml:space="preserve"> </t>
    </r>
    <r>
      <rPr>
        <b/>
        <sz val="14"/>
        <color indexed="17"/>
        <rFont val="Times New Roman"/>
        <family val="1"/>
      </rPr>
      <t>на единицы измерения</t>
    </r>
    <r>
      <rPr>
        <b/>
        <sz val="14"/>
        <color indexed="17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на каждой странице!</t>
    </r>
  </si>
  <si>
    <r>
      <t>Доходы за год,</t>
    </r>
    <r>
      <rPr>
        <sz val="14"/>
        <color indexed="17"/>
        <rFont val="Times New Roman"/>
        <family val="1"/>
      </rPr>
      <t xml:space="preserve"> </t>
    </r>
    <r>
      <rPr>
        <sz val="14"/>
        <color indexed="17"/>
        <rFont val="Times New Roman"/>
        <family val="1"/>
      </rPr>
      <t>тыс.руб.</t>
    </r>
  </si>
  <si>
    <r>
      <t xml:space="preserve">Доля , </t>
    </r>
    <r>
      <rPr>
        <sz val="14"/>
        <color indexed="17"/>
        <rFont val="Times New Roman"/>
        <family val="1"/>
      </rPr>
      <t>%</t>
    </r>
  </si>
  <si>
    <r>
      <t xml:space="preserve">Распределение накладных расходов по видам деятельности осуществляется </t>
    </r>
    <r>
      <rPr>
        <b/>
        <sz val="14"/>
        <color indexed="10"/>
        <rFont val="Times New Roman"/>
        <family val="1"/>
      </rPr>
      <t>пропорционально доле дохода от услуг по данному виду деятельности</t>
    </r>
    <r>
      <rPr>
        <sz val="14"/>
        <color indexed="8"/>
        <rFont val="Times New Roman"/>
        <family val="1"/>
      </rPr>
      <t xml:space="preserve"> в суммарном объеме всех доходов  организации (ИП) </t>
    </r>
  </si>
  <si>
    <t>или иным способом, предусмотренным учетной политикой организации (ИП).</t>
  </si>
  <si>
    <t>количество</t>
  </si>
  <si>
    <t>в год</t>
  </si>
  <si>
    <t xml:space="preserve">Норма расхода </t>
  </si>
  <si>
    <t>Аренда для диспетчера</t>
  </si>
  <si>
    <t>Коммунальные услуги</t>
  </si>
  <si>
    <t>Установка  и эксплуатация отслеживания эвакуаторов</t>
  </si>
  <si>
    <t>Всего</t>
  </si>
  <si>
    <t>Примечание</t>
  </si>
  <si>
    <t>Техническое обслуживание терминала</t>
  </si>
  <si>
    <t>Услуги банка</t>
  </si>
  <si>
    <t>Услуги связи</t>
  </si>
  <si>
    <t>Ремонт и обслуживание орг.техники</t>
  </si>
  <si>
    <t>Программное обеспечение и поддержка</t>
  </si>
  <si>
    <t>Плата за негативное воздействие на окружающую среду</t>
  </si>
  <si>
    <t xml:space="preserve">Налог </t>
  </si>
  <si>
    <t>Траспортный налог</t>
  </si>
  <si>
    <t>Указать форму налообложения</t>
  </si>
  <si>
    <t>Заполняются только желтые ячейки страниц!</t>
  </si>
  <si>
    <r>
      <t xml:space="preserve">Перед заполнением шаблона "Перемещение" необходимо переименовать </t>
    </r>
    <r>
      <rPr>
        <b/>
        <sz val="14"/>
        <color indexed="30"/>
        <rFont val="Times New Roman"/>
        <family val="1"/>
      </rPr>
      <t xml:space="preserve">файл </t>
    </r>
    <r>
      <rPr>
        <b/>
        <sz val="14"/>
        <color indexed="30"/>
        <rFont val="Times New Roman"/>
        <family val="1"/>
      </rPr>
      <t>шаблона с наименованием организации ( ИП)  и датой заполнения шаблона</t>
    </r>
    <r>
      <rPr>
        <sz val="14"/>
        <color indexed="8"/>
        <rFont val="Times New Roman"/>
        <family val="1"/>
      </rPr>
      <t xml:space="preserve"> (например: Перемещение-ИП Иванов В.И.-01.06.2020)!</t>
    </r>
  </si>
  <si>
    <t>Водитель</t>
  </si>
  <si>
    <t>Стропальщик</t>
  </si>
  <si>
    <t>Диспетчер</t>
  </si>
  <si>
    <t>Оплата труда АУП</t>
  </si>
  <si>
    <t>Отчисления на социальные нужды АУП</t>
  </si>
  <si>
    <t>Аренда АУП</t>
  </si>
  <si>
    <t>Зеленые яцейки рассчитываются автоматически!</t>
  </si>
  <si>
    <r>
      <t xml:space="preserve"> Страница "Перемещение" рассчитывается </t>
    </r>
    <r>
      <rPr>
        <b/>
        <sz val="14"/>
        <color indexed="10"/>
        <rFont val="Times New Roman"/>
        <family val="1"/>
      </rPr>
      <t>автоматически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после заполнения всех страниц </t>
    </r>
    <r>
      <rPr>
        <sz val="14"/>
        <color indexed="8"/>
        <rFont val="Times New Roman"/>
        <family val="1"/>
      </rPr>
      <t>!</t>
    </r>
  </si>
  <si>
    <r>
      <t xml:space="preserve">и рассчитываются с учетом представленных организацией (ИП) </t>
    </r>
    <r>
      <rPr>
        <b/>
        <sz val="14"/>
        <color indexed="53"/>
        <rFont val="Times New Roman"/>
        <family val="1"/>
      </rPr>
      <t>обосновывающих материалов !</t>
    </r>
  </si>
  <si>
    <r>
      <t xml:space="preserve">Органиция (ИП) могут  </t>
    </r>
    <r>
      <rPr>
        <b/>
        <sz val="14"/>
        <color indexed="30"/>
        <rFont val="Times New Roman"/>
        <family val="1"/>
      </rPr>
      <t>самостоятельно дополнить эти страницы  расчетами и  примечаниями !</t>
    </r>
  </si>
  <si>
    <t>( указать наименование организации или ФИО индивидуального предпринимателя)</t>
  </si>
  <si>
    <t>Период регулирования 2021</t>
  </si>
  <si>
    <t>План 2022</t>
  </si>
  <si>
    <t>период регулирования 2021</t>
  </si>
  <si>
    <t>Период регулирования</t>
  </si>
  <si>
    <t>Колганова Дарья Викторовна</t>
  </si>
  <si>
    <t>Гузик Надежда Ни</t>
  </si>
  <si>
    <r>
      <t xml:space="preserve">Направить </t>
    </r>
    <r>
      <rPr>
        <b/>
        <sz val="16"/>
        <color indexed="10"/>
        <rFont val="Times New Roman"/>
        <family val="1"/>
      </rPr>
      <t>в срок до 13 сентября 2021 года</t>
    </r>
    <r>
      <rPr>
        <sz val="14"/>
        <color indexed="8"/>
        <rFont val="Times New Roman"/>
        <family val="1"/>
      </rPr>
      <t xml:space="preserve">  шаблон  расчёта  тарифов на перемещение задержанных транспортных средств</t>
    </r>
    <r>
      <rPr>
        <sz val="14"/>
        <color indexed="8"/>
        <rFont val="Times New Roman"/>
        <family val="1"/>
      </rPr>
      <t xml:space="preserve"> в электронном виде   по адресу: </t>
    </r>
    <r>
      <rPr>
        <b/>
        <i/>
        <u val="single"/>
        <sz val="14"/>
        <color indexed="10"/>
        <rFont val="Times New Roman"/>
        <family val="1"/>
      </rPr>
      <t xml:space="preserve">lavreneva@rtk.stavregion.ru, toporkova@rtk.stavregion.ru, kuznecova@rtk.stavregion.ru, </t>
    </r>
    <r>
      <rPr>
        <sz val="14"/>
        <color indexed="8"/>
        <rFont val="Times New Roman"/>
        <family val="1"/>
      </rPr>
      <t xml:space="preserve">а также на бумажном носителе с приложением обосновывающих материалов.  Шаблон для обязательного заполнения и копия настоящего письма размещены на официальном сайте РТК Ставропольского края </t>
    </r>
    <r>
      <rPr>
        <b/>
        <i/>
        <u val="single"/>
        <sz val="14"/>
        <color indexed="10"/>
        <rFont val="Times New Roman"/>
        <family val="1"/>
      </rPr>
      <t xml:space="preserve">www.tarif26.ru </t>
    </r>
    <r>
      <rPr>
        <b/>
        <i/>
        <sz val="14"/>
        <color indexed="10"/>
        <rFont val="Times New Roman"/>
        <family val="1"/>
      </rPr>
      <t>в разделе «Транспорт и социальная сфера» -</t>
    </r>
    <r>
      <rPr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«Перемещение и хранение задержанных транспортных средств»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</si>
</sst>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  <numFmt numFmtId="181" formatCode="#,##0.0"/>
    <numFmt numFmtId="182" formatCode="0.0000"/>
    <numFmt numFmtId="183" formatCode="#,##0.000"/>
    <numFmt numFmtId="184" formatCode="0.000000"/>
    <numFmt numFmtId="185" formatCode="#,##0.0000"/>
    <numFmt numFmtId="186" formatCode="0.000000000"/>
    <numFmt numFmtId="187" formatCode="0.0000000000"/>
    <numFmt numFmtId="188" formatCode="0.00000000"/>
    <numFmt numFmtId="189" formatCode="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.000_р_._-;\-* #,##0.000_р_._-;_-* &quot;-&quot;???_р_._-;_-@_-"/>
    <numFmt numFmtId="194" formatCode="_-* #,##0.0000_р_._-;\-* #,##0.0000_р_._-;_-* &quot;-&quot;???_р_._-;_-@_-"/>
    <numFmt numFmtId="195" formatCode="_-* #,##0.00_р_._-;\-* #,##0.00_р_._-;_-* &quot;-&quot;???_р_._-;_-@_-"/>
    <numFmt numFmtId="196" formatCode="_-* #,##0_р_._-;\-* #,##0_р_._-;_-* &quot;-&quot;??_р_._-;_-@_-"/>
    <numFmt numFmtId="197" formatCode="_-* #,##0.0_р_._-;\-* #,##0.0_р_._-;_-* &quot;-&quot;?_р_._-;_-@_-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0_р_._-;\-* #,##0.00000_р_._-;_-* &quot;-&quot;??_р_._-;_-@_-"/>
    <numFmt numFmtId="201" formatCode="#,##0.00_ ;\-#,##0.00\ 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2"/>
      <name val="Arial Cyr"/>
      <family val="2"/>
    </font>
    <font>
      <sz val="10"/>
      <name val="Arial Cyr"/>
      <family val="0"/>
    </font>
    <font>
      <sz val="8"/>
      <name val="Verdana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7"/>
      <name val="Times New Roman"/>
      <family val="1"/>
    </font>
    <font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4"/>
      <color indexed="53"/>
      <name val="Times New Roman"/>
      <family val="1"/>
    </font>
    <font>
      <sz val="11"/>
      <name val="Times New Roman"/>
      <family val="1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4"/>
      <color indexed="36"/>
      <name val="Times New Roman"/>
      <family val="1"/>
    </font>
    <font>
      <sz val="11"/>
      <color indexed="36"/>
      <name val="Calibri"/>
      <family val="2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4"/>
      <color rgb="FF00B050"/>
      <name val="Times New Roman"/>
      <family val="1"/>
    </font>
    <font>
      <b/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0070C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4"/>
      <color rgb="FF00B050"/>
      <name val="Times New Roman"/>
      <family val="1"/>
    </font>
    <font>
      <i/>
      <sz val="14"/>
      <color rgb="FFFF0000"/>
      <name val="Times New Roman"/>
      <family val="1"/>
    </font>
    <font>
      <b/>
      <sz val="14"/>
      <color theme="7" tint="-0.24997000396251678"/>
      <name val="Times New Roman"/>
      <family val="1"/>
    </font>
    <font>
      <sz val="11"/>
      <color theme="7" tint="-0.24997000396251678"/>
      <name val="Calibri"/>
      <family val="2"/>
    </font>
    <font>
      <b/>
      <sz val="14"/>
      <color theme="1" tint="0.14996999502182007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1" fillId="0" borderId="0" xfId="53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82" fillId="0" borderId="11" xfId="0" applyFont="1" applyBorder="1" applyAlignment="1">
      <alignment/>
    </xf>
    <xf numFmtId="0" fontId="82" fillId="0" borderId="12" xfId="0" applyFont="1" applyBorder="1" applyAlignment="1">
      <alignment/>
    </xf>
    <xf numFmtId="0" fontId="82" fillId="0" borderId="12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82" fillId="0" borderId="19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4" fillId="33" borderId="16" xfId="0" applyFont="1" applyFill="1" applyBorder="1" applyAlignment="1">
      <alignment/>
    </xf>
    <xf numFmtId="0" fontId="15" fillId="33" borderId="16" xfId="0" applyFont="1" applyFill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33" borderId="2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33" borderId="22" xfId="0" applyFont="1" applyFill="1" applyBorder="1" applyAlignment="1">
      <alignment/>
    </xf>
    <xf numFmtId="0" fontId="14" fillId="0" borderId="23" xfId="0" applyFont="1" applyBorder="1" applyAlignment="1">
      <alignment horizontal="center"/>
    </xf>
    <xf numFmtId="0" fontId="82" fillId="7" borderId="12" xfId="0" applyFont="1" applyFill="1" applyBorder="1" applyAlignment="1">
      <alignment/>
    </xf>
    <xf numFmtId="0" fontId="82" fillId="7" borderId="19" xfId="0" applyFont="1" applyFill="1" applyBorder="1" applyAlignment="1">
      <alignment/>
    </xf>
    <xf numFmtId="0" fontId="14" fillId="7" borderId="19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82" fillId="13" borderId="22" xfId="0" applyFont="1" applyFill="1" applyBorder="1" applyAlignment="1">
      <alignment/>
    </xf>
    <xf numFmtId="0" fontId="82" fillId="13" borderId="19" xfId="0" applyFont="1" applyFill="1" applyBorder="1" applyAlignment="1">
      <alignment/>
    </xf>
    <xf numFmtId="0" fontId="14" fillId="13" borderId="19" xfId="0" applyFont="1" applyFill="1" applyBorder="1" applyAlignment="1">
      <alignment horizontal="center"/>
    </xf>
    <xf numFmtId="181" fontId="14" fillId="0" borderId="12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83" fillId="0" borderId="0" xfId="0" applyFont="1" applyAlignment="1">
      <alignment/>
    </xf>
    <xf numFmtId="49" fontId="18" fillId="0" borderId="0" xfId="54" applyNumberFormat="1" applyFont="1" applyFill="1" applyBorder="1" applyAlignment="1" applyProtection="1">
      <alignment horizontal="center" vertical="center" wrapText="1"/>
      <protection/>
    </xf>
    <xf numFmtId="0" fontId="17" fillId="0" borderId="0" xfId="53" applyFont="1" applyBorder="1" applyAlignment="1">
      <alignment horizontal="left"/>
      <protection/>
    </xf>
    <xf numFmtId="0" fontId="17" fillId="0" borderId="0" xfId="53" applyFont="1" applyBorder="1" applyAlignment="1">
      <alignment horizontal="center"/>
      <protection/>
    </xf>
    <xf numFmtId="0" fontId="19" fillId="0" borderId="0" xfId="53" applyFont="1" applyBorder="1">
      <alignment/>
      <protection/>
    </xf>
    <xf numFmtId="0" fontId="19" fillId="0" borderId="0" xfId="53" applyFont="1">
      <alignment/>
      <protection/>
    </xf>
    <xf numFmtId="49" fontId="19" fillId="0" borderId="0" xfId="53" applyNumberFormat="1" applyFont="1">
      <alignment/>
      <protection/>
    </xf>
    <xf numFmtId="0" fontId="17" fillId="0" borderId="0" xfId="53" applyFont="1" applyAlignment="1">
      <alignment horizontal="justify"/>
      <protection/>
    </xf>
    <xf numFmtId="0" fontId="17" fillId="0" borderId="0" xfId="53" applyFont="1" applyAlignment="1">
      <alignment horizontal="left"/>
      <protection/>
    </xf>
    <xf numFmtId="0" fontId="15" fillId="0" borderId="12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19" fillId="0" borderId="0" xfId="55" applyFont="1" applyBorder="1" applyAlignment="1" applyProtection="1">
      <alignment horizontal="center" wrapText="1"/>
      <protection/>
    </xf>
    <xf numFmtId="0" fontId="20" fillId="34" borderId="0" xfId="58" applyNumberFormat="1" applyFont="1" applyFill="1" applyBorder="1" applyAlignment="1" applyProtection="1">
      <alignment horizontal="center" vertical="center" wrapText="1"/>
      <protection/>
    </xf>
    <xf numFmtId="49" fontId="19" fillId="34" borderId="0" xfId="58" applyNumberFormat="1" applyFont="1" applyFill="1" applyBorder="1" applyAlignment="1" applyProtection="1">
      <alignment horizontal="center" vertical="center" wrapText="1"/>
      <protection/>
    </xf>
    <xf numFmtId="0" fontId="19" fillId="34" borderId="0" xfId="55" applyFont="1" applyFill="1" applyBorder="1" applyAlignment="1" applyProtection="1">
      <alignment horizontal="center" vertical="center" wrapText="1"/>
      <protection/>
    </xf>
    <xf numFmtId="0" fontId="19" fillId="34" borderId="24" xfId="56" applyFont="1" applyFill="1" applyBorder="1" applyAlignment="1" applyProtection="1">
      <alignment horizontal="right" vertical="center"/>
      <protection/>
    </xf>
    <xf numFmtId="49" fontId="19" fillId="34" borderId="24" xfId="58" applyNumberFormat="1" applyFont="1" applyFill="1" applyBorder="1" applyAlignment="1" applyProtection="1">
      <alignment horizontal="right" vertical="center"/>
      <protection/>
    </xf>
    <xf numFmtId="0" fontId="85" fillId="0" borderId="22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justify" vertical="center" wrapText="1"/>
    </xf>
    <xf numFmtId="0" fontId="85" fillId="0" borderId="19" xfId="0" applyFont="1" applyBorder="1" applyAlignment="1">
      <alignment horizontal="center" vertical="center" wrapText="1"/>
    </xf>
    <xf numFmtId="0" fontId="85" fillId="0" borderId="25" xfId="0" applyFont="1" applyBorder="1" applyAlignment="1">
      <alignment vertical="center" wrapText="1"/>
    </xf>
    <xf numFmtId="0" fontId="85" fillId="0" borderId="22" xfId="0" applyFont="1" applyBorder="1" applyAlignment="1">
      <alignment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0" fillId="0" borderId="0" xfId="0" applyFont="1" applyAlignment="1">
      <alignment/>
    </xf>
    <xf numFmtId="0" fontId="89" fillId="0" borderId="0" xfId="0" applyFont="1" applyAlignment="1">
      <alignment/>
    </xf>
    <xf numFmtId="0" fontId="82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0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85" fillId="0" borderId="22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2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26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right" vertical="center" wrapText="1"/>
    </xf>
    <xf numFmtId="0" fontId="85" fillId="0" borderId="26" xfId="0" applyFont="1" applyBorder="1" applyAlignment="1">
      <alignment vertical="center" wrapText="1"/>
    </xf>
    <xf numFmtId="0" fontId="85" fillId="0" borderId="0" xfId="0" applyFont="1" applyBorder="1" applyAlignment="1">
      <alignment horizontal="right" vertical="center" wrapText="1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93" fillId="0" borderId="0" xfId="0" applyFont="1" applyAlignment="1">
      <alignment horizontal="right"/>
    </xf>
    <xf numFmtId="0" fontId="93" fillId="0" borderId="0" xfId="0" applyFont="1" applyAlignment="1">
      <alignment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85" fillId="0" borderId="29" xfId="0" applyFont="1" applyBorder="1" applyAlignment="1">
      <alignment horizontal="right" vertical="center" wrapText="1"/>
    </xf>
    <xf numFmtId="0" fontId="85" fillId="0" borderId="30" xfId="0" applyFont="1" applyBorder="1" applyAlignment="1">
      <alignment vertical="center" wrapText="1"/>
    </xf>
    <xf numFmtId="0" fontId="85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5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85" fillId="0" borderId="22" xfId="0" applyFont="1" applyBorder="1" applyAlignment="1">
      <alignment horizontal="center"/>
    </xf>
    <xf numFmtId="49" fontId="0" fillId="0" borderId="0" xfId="0" applyNumberFormat="1" applyAlignment="1">
      <alignment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/>
    </xf>
    <xf numFmtId="49" fontId="94" fillId="0" borderId="0" xfId="0" applyNumberFormat="1" applyFont="1" applyAlignment="1">
      <alignment/>
    </xf>
    <xf numFmtId="0" fontId="85" fillId="0" borderId="0" xfId="0" applyFont="1" applyAlignment="1">
      <alignment vertical="top"/>
    </xf>
    <xf numFmtId="0" fontId="85" fillId="0" borderId="0" xfId="0" applyFont="1" applyAlignment="1">
      <alignment horizontal="justify" vertical="top"/>
    </xf>
    <xf numFmtId="0" fontId="84" fillId="0" borderId="0" xfId="0" applyFont="1" applyAlignment="1">
      <alignment horizontal="justify" vertical="center"/>
    </xf>
    <xf numFmtId="0" fontId="85" fillId="0" borderId="22" xfId="0" applyFont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5" fillId="0" borderId="32" xfId="0" applyFont="1" applyBorder="1" applyAlignment="1">
      <alignment horizontal="center" vertical="top" wrapText="1"/>
    </xf>
    <xf numFmtId="0" fontId="85" fillId="0" borderId="33" xfId="0" applyFont="1" applyBorder="1" applyAlignment="1">
      <alignment horizontal="center" vertical="top" wrapText="1"/>
    </xf>
    <xf numFmtId="0" fontId="85" fillId="0" borderId="22" xfId="0" applyFont="1" applyBorder="1" applyAlignment="1">
      <alignment horizontal="center" vertical="top" wrapText="1"/>
    </xf>
    <xf numFmtId="0" fontId="85" fillId="0" borderId="28" xfId="0" applyFont="1" applyBorder="1" applyAlignment="1">
      <alignment horizontal="center" vertical="top" wrapText="1"/>
    </xf>
    <xf numFmtId="0" fontId="94" fillId="0" borderId="22" xfId="0" applyFont="1" applyBorder="1" applyAlignment="1">
      <alignment horizontal="center" vertical="top" wrapText="1"/>
    </xf>
    <xf numFmtId="0" fontId="90" fillId="0" borderId="22" xfId="0" applyFont="1" applyBorder="1" applyAlignment="1">
      <alignment horizontal="center" vertical="top" wrapText="1"/>
    </xf>
    <xf numFmtId="0" fontId="85" fillId="0" borderId="34" xfId="0" applyFont="1" applyBorder="1" applyAlignment="1">
      <alignment horizontal="center" vertical="top" wrapText="1"/>
    </xf>
    <xf numFmtId="0" fontId="85" fillId="0" borderId="35" xfId="0" applyFont="1" applyBorder="1" applyAlignment="1">
      <alignment horizontal="center" vertical="top" wrapText="1"/>
    </xf>
    <xf numFmtId="0" fontId="88" fillId="0" borderId="12" xfId="0" applyFont="1" applyBorder="1" applyAlignment="1">
      <alignment horizontal="center"/>
    </xf>
    <xf numFmtId="0" fontId="97" fillId="0" borderId="0" xfId="0" applyFont="1" applyBorder="1" applyAlignment="1">
      <alignment horizontal="center" wrapText="1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85" fillId="0" borderId="33" xfId="0" applyFont="1" applyBorder="1" applyAlignment="1">
      <alignment horizontal="center" vertical="top" wrapText="1"/>
    </xf>
    <xf numFmtId="0" fontId="85" fillId="0" borderId="12" xfId="0" applyFont="1" applyBorder="1" applyAlignment="1">
      <alignment horizontal="center"/>
    </xf>
    <xf numFmtId="0" fontId="100" fillId="33" borderId="0" xfId="0" applyFont="1" applyFill="1" applyAlignment="1">
      <alignment/>
    </xf>
    <xf numFmtId="0" fontId="85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85" fillId="0" borderId="22" xfId="0" applyFont="1" applyBorder="1" applyAlignment="1">
      <alignment horizontal="center" wrapText="1"/>
    </xf>
    <xf numFmtId="0" fontId="85" fillId="0" borderId="25" xfId="0" applyFont="1" applyBorder="1" applyAlignment="1">
      <alignment horizontal="center" wrapText="1"/>
    </xf>
    <xf numFmtId="49" fontId="90" fillId="0" borderId="0" xfId="0" applyNumberFormat="1" applyFont="1" applyAlignment="1">
      <alignment/>
    </xf>
    <xf numFmtId="0" fontId="85" fillId="0" borderId="25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top" wrapText="1"/>
    </xf>
    <xf numFmtId="0" fontId="85" fillId="0" borderId="22" xfId="0" applyFont="1" applyBorder="1" applyAlignment="1">
      <alignment horizontal="center" vertical="top" wrapText="1"/>
    </xf>
    <xf numFmtId="0" fontId="85" fillId="0" borderId="37" xfId="0" applyFont="1" applyBorder="1" applyAlignment="1">
      <alignment horizontal="right" vertical="center" wrapText="1"/>
    </xf>
    <xf numFmtId="0" fontId="85" fillId="0" borderId="38" xfId="0" applyFont="1" applyBorder="1" applyAlignment="1">
      <alignment vertical="center" wrapText="1"/>
    </xf>
    <xf numFmtId="1" fontId="85" fillId="31" borderId="25" xfId="0" applyNumberFormat="1" applyFont="1" applyFill="1" applyBorder="1" applyAlignment="1">
      <alignment horizontal="center" vertical="center" wrapText="1"/>
    </xf>
    <xf numFmtId="1" fontId="85" fillId="31" borderId="25" xfId="0" applyNumberFormat="1" applyFont="1" applyFill="1" applyBorder="1" applyAlignment="1">
      <alignment vertical="center" wrapText="1"/>
    </xf>
    <xf numFmtId="0" fontId="85" fillId="35" borderId="12" xfId="0" applyFont="1" applyFill="1" applyBorder="1" applyAlignment="1">
      <alignment horizontal="center" vertical="center" wrapText="1"/>
    </xf>
    <xf numFmtId="0" fontId="85" fillId="35" borderId="25" xfId="0" applyFont="1" applyFill="1" applyBorder="1" applyAlignment="1">
      <alignment horizontal="center" vertical="center" wrapText="1"/>
    </xf>
    <xf numFmtId="0" fontId="85" fillId="31" borderId="12" xfId="0" applyFont="1" applyFill="1" applyBorder="1" applyAlignment="1">
      <alignment horizontal="center" vertical="center" wrapText="1"/>
    </xf>
    <xf numFmtId="0" fontId="85" fillId="31" borderId="25" xfId="0" applyFont="1" applyFill="1" applyBorder="1" applyAlignment="1">
      <alignment horizontal="center" vertical="center" wrapText="1"/>
    </xf>
    <xf numFmtId="179" fontId="85" fillId="35" borderId="12" xfId="0" applyNumberFormat="1" applyFont="1" applyFill="1" applyBorder="1" applyAlignment="1">
      <alignment horizontal="center"/>
    </xf>
    <xf numFmtId="0" fontId="85" fillId="35" borderId="30" xfId="0" applyFont="1" applyFill="1" applyBorder="1" applyAlignment="1">
      <alignment horizontal="center" vertical="center" wrapText="1"/>
    </xf>
    <xf numFmtId="0" fontId="85" fillId="35" borderId="26" xfId="0" applyFont="1" applyFill="1" applyBorder="1" applyAlignment="1">
      <alignment horizontal="center" vertical="center" wrapText="1"/>
    </xf>
    <xf numFmtId="0" fontId="82" fillId="31" borderId="12" xfId="0" applyFont="1" applyFill="1" applyBorder="1" applyAlignment="1">
      <alignment horizontal="center" vertical="center" wrapText="1"/>
    </xf>
    <xf numFmtId="0" fontId="85" fillId="31" borderId="25" xfId="0" applyFont="1" applyFill="1" applyBorder="1" applyAlignment="1">
      <alignment vertical="center" wrapText="1"/>
    </xf>
    <xf numFmtId="0" fontId="85" fillId="31" borderId="25" xfId="0" applyFont="1" applyFill="1" applyBorder="1" applyAlignment="1">
      <alignment horizontal="center" wrapText="1"/>
    </xf>
    <xf numFmtId="179" fontId="85" fillId="31" borderId="19" xfId="0" applyNumberFormat="1" applyFont="1" applyFill="1" applyBorder="1" applyAlignment="1">
      <alignment horizontal="center" wrapText="1"/>
    </xf>
    <xf numFmtId="0" fontId="85" fillId="35" borderId="25" xfId="0" applyFont="1" applyFill="1" applyBorder="1" applyAlignment="1">
      <alignment horizontal="center" wrapText="1"/>
    </xf>
    <xf numFmtId="179" fontId="85" fillId="31" borderId="28" xfId="0" applyNumberFormat="1" applyFont="1" applyFill="1" applyBorder="1" applyAlignment="1">
      <alignment horizontal="center" wrapText="1"/>
    </xf>
    <xf numFmtId="0" fontId="85" fillId="31" borderId="12" xfId="0" applyFont="1" applyFill="1" applyBorder="1" applyAlignment="1">
      <alignment horizontal="center" vertical="center"/>
    </xf>
    <xf numFmtId="0" fontId="85" fillId="31" borderId="25" xfId="0" applyFont="1" applyFill="1" applyBorder="1" applyAlignment="1">
      <alignment horizontal="center" vertical="center"/>
    </xf>
    <xf numFmtId="0" fontId="85" fillId="31" borderId="25" xfId="0" applyFont="1" applyFill="1" applyBorder="1" applyAlignment="1">
      <alignment vertical="center"/>
    </xf>
    <xf numFmtId="0" fontId="85" fillId="31" borderId="19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vertical="center" wrapText="1"/>
    </xf>
    <xf numFmtId="0" fontId="85" fillId="33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1" fontId="14" fillId="35" borderId="16" xfId="0" applyNumberFormat="1" applyFont="1" applyFill="1" applyBorder="1" applyAlignment="1">
      <alignment horizontal="center"/>
    </xf>
    <xf numFmtId="1" fontId="14" fillId="35" borderId="15" xfId="0" applyNumberFormat="1" applyFont="1" applyFill="1" applyBorder="1" applyAlignment="1">
      <alignment horizontal="center"/>
    </xf>
    <xf numFmtId="4" fontId="14" fillId="35" borderId="18" xfId="0" applyNumberFormat="1" applyFont="1" applyFill="1" applyBorder="1" applyAlignment="1">
      <alignment horizontal="center"/>
    </xf>
    <xf numFmtId="1" fontId="14" fillId="35" borderId="20" xfId="0" applyNumberFormat="1" applyFont="1" applyFill="1" applyBorder="1" applyAlignment="1">
      <alignment horizontal="center"/>
    </xf>
    <xf numFmtId="179" fontId="85" fillId="31" borderId="12" xfId="0" applyNumberFormat="1" applyFont="1" applyFill="1" applyBorder="1" applyAlignment="1">
      <alignment horizontal="center" wrapText="1"/>
    </xf>
    <xf numFmtId="0" fontId="85" fillId="31" borderId="39" xfId="0" applyFont="1" applyFill="1" applyBorder="1" applyAlignment="1">
      <alignment horizontal="right" vertical="center" wrapText="1"/>
    </xf>
    <xf numFmtId="0" fontId="85" fillId="31" borderId="40" xfId="0" applyFont="1" applyFill="1" applyBorder="1" applyAlignment="1">
      <alignment horizontal="right" vertical="center" wrapText="1"/>
    </xf>
    <xf numFmtId="0" fontId="85" fillId="31" borderId="41" xfId="0" applyFont="1" applyFill="1" applyBorder="1" applyAlignment="1">
      <alignment horizontal="right" vertical="center" wrapText="1"/>
    </xf>
    <xf numFmtId="0" fontId="85" fillId="31" borderId="26" xfId="0" applyFont="1" applyFill="1" applyBorder="1" applyAlignment="1">
      <alignment horizontal="right" vertical="center" wrapText="1"/>
    </xf>
    <xf numFmtId="0" fontId="85" fillId="0" borderId="0" xfId="0" applyFont="1" applyFill="1" applyAlignment="1">
      <alignment/>
    </xf>
    <xf numFmtId="0" fontId="85" fillId="31" borderId="0" xfId="0" applyFont="1" applyFill="1" applyAlignment="1">
      <alignment/>
    </xf>
    <xf numFmtId="49" fontId="82" fillId="0" borderId="0" xfId="0" applyNumberFormat="1" applyFont="1" applyAlignment="1">
      <alignment/>
    </xf>
    <xf numFmtId="0" fontId="94" fillId="0" borderId="11" xfId="0" applyFont="1" applyBorder="1" applyAlignment="1">
      <alignment horizontal="center" vertical="top" wrapText="1"/>
    </xf>
    <xf numFmtId="0" fontId="90" fillId="0" borderId="0" xfId="0" applyFont="1" applyFill="1" applyAlignment="1">
      <alignment/>
    </xf>
    <xf numFmtId="0" fontId="101" fillId="0" borderId="0" xfId="0" applyFont="1" applyAlignment="1">
      <alignment/>
    </xf>
    <xf numFmtId="0" fontId="90" fillId="0" borderId="11" xfId="0" applyFont="1" applyBorder="1" applyAlignment="1">
      <alignment horizontal="center" vertical="top" wrapText="1"/>
    </xf>
    <xf numFmtId="0" fontId="96" fillId="0" borderId="12" xfId="0" applyFont="1" applyBorder="1" applyAlignment="1">
      <alignment horizontal="center"/>
    </xf>
    <xf numFmtId="0" fontId="85" fillId="31" borderId="12" xfId="0" applyFont="1" applyFill="1" applyBorder="1" applyAlignment="1">
      <alignment/>
    </xf>
    <xf numFmtId="0" fontId="0" fillId="31" borderId="0" xfId="0" applyFill="1" applyAlignment="1">
      <alignment/>
    </xf>
    <xf numFmtId="0" fontId="0" fillId="33" borderId="0" xfId="0" applyFill="1" applyAlignment="1">
      <alignment/>
    </xf>
    <xf numFmtId="0" fontId="85" fillId="33" borderId="0" xfId="0" applyFont="1" applyFill="1" applyAlignment="1">
      <alignment/>
    </xf>
    <xf numFmtId="0" fontId="85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49" fontId="102" fillId="0" borderId="0" xfId="0" applyNumberFormat="1" applyFont="1" applyAlignment="1">
      <alignment/>
    </xf>
    <xf numFmtId="2" fontId="85" fillId="35" borderId="25" xfId="0" applyNumberFormat="1" applyFont="1" applyFill="1" applyBorder="1" applyAlignment="1">
      <alignment horizontal="center" vertical="center" wrapText="1"/>
    </xf>
    <xf numFmtId="0" fontId="84" fillId="34" borderId="24" xfId="56" applyFont="1" applyFill="1" applyBorder="1" applyAlignment="1" applyProtection="1">
      <alignment horizontal="right" vertical="center"/>
      <protection/>
    </xf>
    <xf numFmtId="0" fontId="20" fillId="34" borderId="24" xfId="56" applyFont="1" applyFill="1" applyBorder="1" applyAlignment="1" applyProtection="1">
      <alignment horizontal="right" vertical="center" wrapText="1"/>
      <protection/>
    </xf>
    <xf numFmtId="0" fontId="19" fillId="0" borderId="0" xfId="55" applyFont="1" applyBorder="1" applyAlignment="1" applyProtection="1">
      <alignment horizontal="right" vertical="center" wrapText="1"/>
      <protection/>
    </xf>
    <xf numFmtId="49" fontId="20" fillId="34" borderId="24" xfId="57" applyNumberFormat="1" applyFont="1" applyFill="1" applyBorder="1" applyAlignment="1" applyProtection="1">
      <alignment horizontal="right" vertical="center" wrapText="1"/>
      <protection/>
    </xf>
    <xf numFmtId="49" fontId="20" fillId="34" borderId="0" xfId="58" applyNumberFormat="1" applyFont="1" applyFill="1" applyBorder="1" applyAlignment="1" applyProtection="1">
      <alignment horizontal="right" vertical="center" wrapText="1"/>
      <protection/>
    </xf>
    <xf numFmtId="0" fontId="20" fillId="34" borderId="24" xfId="58" applyNumberFormat="1" applyFont="1" applyFill="1" applyBorder="1" applyAlignment="1" applyProtection="1">
      <alignment horizontal="right" vertical="center" wrapText="1"/>
      <protection/>
    </xf>
    <xf numFmtId="0" fontId="20" fillId="34" borderId="0" xfId="58" applyNumberFormat="1" applyFont="1" applyFill="1" applyBorder="1" applyAlignment="1" applyProtection="1">
      <alignment horizontal="right" vertical="center" wrapText="1"/>
      <protection/>
    </xf>
    <xf numFmtId="0" fontId="86" fillId="33" borderId="0" xfId="0" applyFont="1" applyFill="1" applyAlignment="1">
      <alignment/>
    </xf>
    <xf numFmtId="4" fontId="14" fillId="35" borderId="13" xfId="0" applyNumberFormat="1" applyFont="1" applyFill="1" applyBorder="1" applyAlignment="1">
      <alignment horizontal="center"/>
    </xf>
    <xf numFmtId="183" fontId="14" fillId="35" borderId="14" xfId="0" applyNumberFormat="1" applyFont="1" applyFill="1" applyBorder="1" applyAlignment="1">
      <alignment horizontal="center"/>
    </xf>
    <xf numFmtId="183" fontId="14" fillId="35" borderId="20" xfId="0" applyNumberFormat="1" applyFont="1" applyFill="1" applyBorder="1" applyAlignment="1">
      <alignment horizontal="center"/>
    </xf>
    <xf numFmtId="183" fontId="14" fillId="35" borderId="16" xfId="0" applyNumberFormat="1" applyFont="1" applyFill="1" applyBorder="1" applyAlignment="1">
      <alignment horizontal="center"/>
    </xf>
    <xf numFmtId="183" fontId="14" fillId="35" borderId="15" xfId="0" applyNumberFormat="1" applyFont="1" applyFill="1" applyBorder="1" applyAlignment="1">
      <alignment horizontal="center"/>
    </xf>
    <xf numFmtId="3" fontId="14" fillId="35" borderId="16" xfId="0" applyNumberFormat="1" applyFont="1" applyFill="1" applyBorder="1" applyAlignment="1">
      <alignment horizontal="center"/>
    </xf>
    <xf numFmtId="3" fontId="14" fillId="35" borderId="20" xfId="0" applyNumberFormat="1" applyFont="1" applyFill="1" applyBorder="1" applyAlignment="1">
      <alignment horizontal="center"/>
    </xf>
    <xf numFmtId="3" fontId="14" fillId="35" borderId="15" xfId="0" applyNumberFormat="1" applyFont="1" applyFill="1" applyBorder="1" applyAlignment="1">
      <alignment horizontal="center"/>
    </xf>
    <xf numFmtId="183" fontId="85" fillId="35" borderId="15" xfId="0" applyNumberFormat="1" applyFont="1" applyFill="1" applyBorder="1" applyAlignment="1">
      <alignment horizontal="center"/>
    </xf>
    <xf numFmtId="183" fontId="14" fillId="35" borderId="23" xfId="0" applyNumberFormat="1" applyFont="1" applyFill="1" applyBorder="1" applyAlignment="1">
      <alignment horizontal="center"/>
    </xf>
    <xf numFmtId="183" fontId="14" fillId="35" borderId="42" xfId="0" applyNumberFormat="1" applyFont="1" applyFill="1" applyBorder="1" applyAlignment="1">
      <alignment horizontal="center"/>
    </xf>
    <xf numFmtId="183" fontId="16" fillId="7" borderId="19" xfId="0" applyNumberFormat="1" applyFont="1" applyFill="1" applyBorder="1" applyAlignment="1">
      <alignment horizontal="center"/>
    </xf>
    <xf numFmtId="183" fontId="14" fillId="35" borderId="19" xfId="0" applyNumberFormat="1" applyFont="1" applyFill="1" applyBorder="1" applyAlignment="1">
      <alignment horizontal="center"/>
    </xf>
    <xf numFmtId="183" fontId="82" fillId="7" borderId="19" xfId="0" applyNumberFormat="1" applyFont="1" applyFill="1" applyBorder="1" applyAlignment="1">
      <alignment horizontal="center"/>
    </xf>
    <xf numFmtId="183" fontId="82" fillId="13" borderId="19" xfId="0" applyNumberFormat="1" applyFont="1" applyFill="1" applyBorder="1" applyAlignment="1">
      <alignment horizontal="center"/>
    </xf>
    <xf numFmtId="3" fontId="103" fillId="0" borderId="43" xfId="0" applyNumberFormat="1" applyFont="1" applyFill="1" applyBorder="1" applyAlignment="1" applyProtection="1">
      <alignment horizontal="right" wrapText="1"/>
      <protection/>
    </xf>
    <xf numFmtId="3" fontId="103" fillId="0" borderId="12" xfId="0" applyNumberFormat="1" applyFont="1" applyFill="1" applyBorder="1" applyAlignment="1" applyProtection="1">
      <alignment horizontal="right"/>
      <protection/>
    </xf>
    <xf numFmtId="3" fontId="15" fillId="0" borderId="12" xfId="0" applyNumberFormat="1" applyFont="1" applyFill="1" applyBorder="1" applyAlignment="1" applyProtection="1">
      <alignment horizontal="right"/>
      <protection/>
    </xf>
    <xf numFmtId="0" fontId="85" fillId="0" borderId="12" xfId="0" applyFont="1" applyBorder="1" applyAlignment="1">
      <alignment vertical="center" wrapText="1"/>
    </xf>
    <xf numFmtId="0" fontId="95" fillId="0" borderId="0" xfId="0" applyFont="1" applyFill="1" applyBorder="1" applyAlignment="1">
      <alignment horizontal="center" vertical="top" wrapText="1"/>
    </xf>
    <xf numFmtId="0" fontId="85" fillId="35" borderId="44" xfId="0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horizontal="center" vertical="center"/>
    </xf>
    <xf numFmtId="0" fontId="85" fillId="31" borderId="12" xfId="56" applyFont="1" applyFill="1" applyBorder="1" applyAlignment="1" applyProtection="1">
      <alignment horizontal="left" vertical="center"/>
      <protection/>
    </xf>
    <xf numFmtId="0" fontId="14" fillId="31" borderId="12" xfId="56" applyFont="1" applyFill="1" applyBorder="1" applyAlignment="1" applyProtection="1">
      <alignment horizontal="left" vertical="center"/>
      <protection/>
    </xf>
    <xf numFmtId="0" fontId="19" fillId="33" borderId="0" xfId="56" applyFont="1" applyFill="1" applyBorder="1" applyAlignment="1" applyProtection="1">
      <alignment horizontal="left" vertical="center"/>
      <protection/>
    </xf>
    <xf numFmtId="4" fontId="85" fillId="31" borderId="12" xfId="0" applyNumberFormat="1" applyFont="1" applyFill="1" applyBorder="1" applyAlignment="1">
      <alignment horizontal="center" vertical="top" wrapText="1"/>
    </xf>
    <xf numFmtId="4" fontId="85" fillId="35" borderId="12" xfId="0" applyNumberFormat="1" applyFont="1" applyFill="1" applyBorder="1" applyAlignment="1">
      <alignment horizontal="center"/>
    </xf>
    <xf numFmtId="3" fontId="85" fillId="31" borderId="25" xfId="0" applyNumberFormat="1" applyFont="1" applyFill="1" applyBorder="1" applyAlignment="1">
      <alignment horizontal="center" vertical="center" wrapText="1"/>
    </xf>
    <xf numFmtId="3" fontId="85" fillId="35" borderId="25" xfId="0" applyNumberFormat="1" applyFont="1" applyFill="1" applyBorder="1" applyAlignment="1">
      <alignment horizontal="center" vertical="center" wrapText="1"/>
    </xf>
    <xf numFmtId="181" fontId="85" fillId="35" borderId="12" xfId="0" applyNumberFormat="1" applyFont="1" applyFill="1" applyBorder="1" applyAlignment="1">
      <alignment horizontal="center" vertical="center" wrapText="1"/>
    </xf>
    <xf numFmtId="181" fontId="85" fillId="35" borderId="25" xfId="0" applyNumberFormat="1" applyFont="1" applyFill="1" applyBorder="1" applyAlignment="1">
      <alignment horizontal="center" vertical="center" wrapText="1"/>
    </xf>
    <xf numFmtId="3" fontId="85" fillId="35" borderId="12" xfId="0" applyNumberFormat="1" applyFont="1" applyFill="1" applyBorder="1" applyAlignment="1">
      <alignment horizontal="center" vertical="center" wrapText="1"/>
    </xf>
    <xf numFmtId="3" fontId="85" fillId="0" borderId="12" xfId="0" applyNumberFormat="1" applyFont="1" applyBorder="1" applyAlignment="1">
      <alignment horizontal="center" vertical="center" wrapText="1"/>
    </xf>
    <xf numFmtId="3" fontId="85" fillId="0" borderId="25" xfId="0" applyNumberFormat="1" applyFont="1" applyBorder="1" applyAlignment="1">
      <alignment horizontal="center" vertical="center" wrapText="1"/>
    </xf>
    <xf numFmtId="183" fontId="85" fillId="35" borderId="12" xfId="0" applyNumberFormat="1" applyFont="1" applyFill="1" applyBorder="1" applyAlignment="1">
      <alignment horizontal="center" vertical="center" wrapText="1"/>
    </xf>
    <xf numFmtId="183" fontId="85" fillId="35" borderId="25" xfId="0" applyNumberFormat="1" applyFont="1" applyFill="1" applyBorder="1" applyAlignment="1">
      <alignment horizontal="center" vertical="center" wrapText="1"/>
    </xf>
    <xf numFmtId="183" fontId="85" fillId="31" borderId="25" xfId="0" applyNumberFormat="1" applyFont="1" applyFill="1" applyBorder="1" applyAlignment="1">
      <alignment horizontal="center" vertical="center" wrapText="1"/>
    </xf>
    <xf numFmtId="183" fontId="85" fillId="0" borderId="25" xfId="0" applyNumberFormat="1" applyFont="1" applyBorder="1" applyAlignment="1">
      <alignment horizontal="center" vertical="center" wrapText="1"/>
    </xf>
    <xf numFmtId="3" fontId="85" fillId="31" borderId="25" xfId="0" applyNumberFormat="1" applyFont="1" applyFill="1" applyBorder="1" applyAlignment="1">
      <alignment horizontal="center" wrapText="1"/>
    </xf>
    <xf numFmtId="3" fontId="85" fillId="0" borderId="25" xfId="0" applyNumberFormat="1" applyFont="1" applyBorder="1" applyAlignment="1">
      <alignment horizontal="center" wrapText="1"/>
    </xf>
    <xf numFmtId="183" fontId="85" fillId="35" borderId="12" xfId="0" applyNumberFormat="1" applyFont="1" applyFill="1" applyBorder="1" applyAlignment="1">
      <alignment horizontal="center" wrapText="1"/>
    </xf>
    <xf numFmtId="183" fontId="85" fillId="35" borderId="22" xfId="0" applyNumberFormat="1" applyFont="1" applyFill="1" applyBorder="1" applyAlignment="1">
      <alignment horizontal="center" wrapText="1"/>
    </xf>
    <xf numFmtId="183" fontId="85" fillId="35" borderId="19" xfId="0" applyNumberFormat="1" applyFont="1" applyFill="1" applyBorder="1" applyAlignment="1">
      <alignment horizontal="center" vertical="top"/>
    </xf>
    <xf numFmtId="183" fontId="85" fillId="35" borderId="28" xfId="0" applyNumberFormat="1" applyFont="1" applyFill="1" applyBorder="1" applyAlignment="1">
      <alignment horizontal="center"/>
    </xf>
    <xf numFmtId="183" fontId="85" fillId="35" borderId="33" xfId="0" applyNumberFormat="1" applyFont="1" applyFill="1" applyBorder="1" applyAlignment="1">
      <alignment horizontal="center"/>
    </xf>
    <xf numFmtId="183" fontId="85" fillId="35" borderId="12" xfId="0" applyNumberFormat="1" applyFont="1" applyFill="1" applyBorder="1" applyAlignment="1">
      <alignment horizontal="center"/>
    </xf>
    <xf numFmtId="183" fontId="85" fillId="35" borderId="12" xfId="0" applyNumberFormat="1" applyFont="1" applyFill="1" applyBorder="1" applyAlignment="1">
      <alignment horizontal="center" vertical="center"/>
    </xf>
    <xf numFmtId="183" fontId="85" fillId="35" borderId="25" xfId="0" applyNumberFormat="1" applyFont="1" applyFill="1" applyBorder="1" applyAlignment="1">
      <alignment horizontal="center" vertical="center"/>
    </xf>
    <xf numFmtId="183" fontId="85" fillId="35" borderId="26" xfId="0" applyNumberFormat="1" applyFont="1" applyFill="1" applyBorder="1" applyAlignment="1">
      <alignment horizontal="center" vertical="center" wrapText="1"/>
    </xf>
    <xf numFmtId="183" fontId="85" fillId="35" borderId="30" xfId="0" applyNumberFormat="1" applyFont="1" applyFill="1" applyBorder="1" applyAlignment="1">
      <alignment horizontal="center" vertical="center" wrapText="1"/>
    </xf>
    <xf numFmtId="181" fontId="85" fillId="35" borderId="19" xfId="0" applyNumberFormat="1" applyFont="1" applyFill="1" applyBorder="1" applyAlignment="1">
      <alignment horizontal="center" vertical="center" wrapText="1"/>
    </xf>
    <xf numFmtId="181" fontId="85" fillId="35" borderId="33" xfId="0" applyNumberFormat="1" applyFont="1" applyFill="1" applyBorder="1" applyAlignment="1">
      <alignment horizontal="center" vertical="center" wrapText="1"/>
    </xf>
    <xf numFmtId="181" fontId="85" fillId="35" borderId="26" xfId="0" applyNumberFormat="1" applyFont="1" applyFill="1" applyBorder="1" applyAlignment="1">
      <alignment horizontal="center" vertical="center" wrapText="1"/>
    </xf>
    <xf numFmtId="181" fontId="85" fillId="35" borderId="30" xfId="0" applyNumberFormat="1" applyFont="1" applyFill="1" applyBorder="1" applyAlignment="1">
      <alignment horizontal="center" vertical="center" wrapText="1"/>
    </xf>
    <xf numFmtId="3" fontId="85" fillId="31" borderId="12" xfId="0" applyNumberFormat="1" applyFont="1" applyFill="1" applyBorder="1" applyAlignment="1">
      <alignment horizontal="center" vertical="center" wrapText="1"/>
    </xf>
    <xf numFmtId="3" fontId="85" fillId="31" borderId="26" xfId="0" applyNumberFormat="1" applyFont="1" applyFill="1" applyBorder="1" applyAlignment="1">
      <alignment horizontal="center" vertical="center" wrapText="1"/>
    </xf>
    <xf numFmtId="3" fontId="85" fillId="0" borderId="30" xfId="0" applyNumberFormat="1" applyFont="1" applyBorder="1" applyAlignment="1">
      <alignment horizontal="center" vertical="center" wrapText="1"/>
    </xf>
    <xf numFmtId="3" fontId="85" fillId="0" borderId="26" xfId="0" applyNumberFormat="1" applyFont="1" applyBorder="1" applyAlignment="1">
      <alignment horizontal="center" vertical="center" wrapText="1"/>
    </xf>
    <xf numFmtId="4" fontId="85" fillId="31" borderId="31" xfId="0" applyNumberFormat="1" applyFont="1" applyFill="1" applyBorder="1" applyAlignment="1">
      <alignment horizontal="center" vertical="center" wrapText="1"/>
    </xf>
    <xf numFmtId="4" fontId="85" fillId="0" borderId="31" xfId="0" applyNumberFormat="1" applyFont="1" applyBorder="1" applyAlignment="1">
      <alignment vertical="center" wrapText="1"/>
    </xf>
    <xf numFmtId="181" fontId="85" fillId="35" borderId="25" xfId="0" applyNumberFormat="1" applyFont="1" applyFill="1" applyBorder="1" applyAlignment="1">
      <alignment horizontal="center" vertical="center"/>
    </xf>
    <xf numFmtId="3" fontId="85" fillId="35" borderId="12" xfId="0" applyNumberFormat="1" applyFont="1" applyFill="1" applyBorder="1" applyAlignment="1">
      <alignment horizontal="center" vertical="center"/>
    </xf>
    <xf numFmtId="3" fontId="85" fillId="35" borderId="25" xfId="0" applyNumberFormat="1" applyFont="1" applyFill="1" applyBorder="1" applyAlignment="1">
      <alignment horizontal="center" vertical="center"/>
    </xf>
    <xf numFmtId="183" fontId="85" fillId="35" borderId="19" xfId="0" applyNumberFormat="1" applyFont="1" applyFill="1" applyBorder="1" applyAlignment="1">
      <alignment horizontal="center" vertical="center" wrapText="1"/>
    </xf>
    <xf numFmtId="183" fontId="85" fillId="31" borderId="12" xfId="0" applyNumberFormat="1" applyFont="1" applyFill="1" applyBorder="1" applyAlignment="1">
      <alignment horizontal="center" vertical="center" wrapText="1"/>
    </xf>
    <xf numFmtId="183" fontId="85" fillId="31" borderId="22" xfId="0" applyNumberFormat="1" applyFont="1" applyFill="1" applyBorder="1" applyAlignment="1">
      <alignment horizontal="center" vertical="center" wrapText="1"/>
    </xf>
    <xf numFmtId="183" fontId="88" fillId="31" borderId="12" xfId="0" applyNumberFormat="1" applyFont="1" applyFill="1" applyBorder="1" applyAlignment="1">
      <alignment horizontal="center"/>
    </xf>
    <xf numFmtId="183" fontId="82" fillId="35" borderId="12" xfId="0" applyNumberFormat="1" applyFont="1" applyFill="1" applyBorder="1" applyAlignment="1">
      <alignment horizontal="center" vertical="center" wrapText="1"/>
    </xf>
    <xf numFmtId="4" fontId="85" fillId="35" borderId="25" xfId="0" applyNumberFormat="1" applyFont="1" applyFill="1" applyBorder="1" applyAlignment="1">
      <alignment horizontal="center" vertical="center" wrapText="1"/>
    </xf>
    <xf numFmtId="183" fontId="85" fillId="31" borderId="1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34" fillId="0" borderId="0" xfId="0" applyFont="1" applyAlignment="1">
      <alignment/>
    </xf>
    <xf numFmtId="0" fontId="85" fillId="35" borderId="0" xfId="0" applyFont="1" applyFill="1" applyAlignment="1">
      <alignment/>
    </xf>
    <xf numFmtId="0" fontId="104" fillId="0" borderId="31" xfId="0" applyFont="1" applyBorder="1" applyAlignment="1">
      <alignment/>
    </xf>
    <xf numFmtId="0" fontId="105" fillId="0" borderId="31" xfId="0" applyFont="1" applyBorder="1" applyAlignment="1">
      <alignment/>
    </xf>
    <xf numFmtId="0" fontId="85" fillId="31" borderId="25" xfId="0" applyFont="1" applyFill="1" applyBorder="1" applyAlignment="1">
      <alignment horizontal="left" wrapText="1"/>
    </xf>
    <xf numFmtId="0" fontId="85" fillId="33" borderId="0" xfId="0" applyFont="1" applyFill="1" applyBorder="1" applyAlignment="1">
      <alignment horizontal="center" vertical="top" wrapText="1"/>
    </xf>
    <xf numFmtId="183" fontId="85" fillId="33" borderId="0" xfId="0" applyNumberFormat="1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center"/>
    </xf>
    <xf numFmtId="0" fontId="88" fillId="33" borderId="0" xfId="0" applyFont="1" applyFill="1" applyBorder="1" applyAlignment="1">
      <alignment horizontal="center"/>
    </xf>
    <xf numFmtId="183" fontId="88" fillId="33" borderId="0" xfId="0" applyNumberFormat="1" applyFont="1" applyFill="1" applyBorder="1" applyAlignment="1">
      <alignment horizontal="center"/>
    </xf>
    <xf numFmtId="183" fontId="82" fillId="33" borderId="0" xfId="0" applyNumberFormat="1" applyFont="1" applyFill="1" applyBorder="1" applyAlignment="1">
      <alignment horizontal="center" vertical="center" wrapText="1"/>
    </xf>
    <xf numFmtId="0" fontId="85" fillId="31" borderId="12" xfId="0" applyFont="1" applyFill="1" applyBorder="1" applyAlignment="1">
      <alignment vertical="center" wrapText="1"/>
    </xf>
    <xf numFmtId="183" fontId="85" fillId="35" borderId="22" xfId="0" applyNumberFormat="1" applyFont="1" applyFill="1" applyBorder="1" applyAlignment="1">
      <alignment horizontal="center" vertical="center" wrapText="1"/>
    </xf>
    <xf numFmtId="183" fontId="85" fillId="33" borderId="12" xfId="0" applyNumberFormat="1" applyFont="1" applyFill="1" applyBorder="1" applyAlignment="1">
      <alignment horizontal="center" vertical="center" wrapText="1"/>
    </xf>
    <xf numFmtId="183" fontId="85" fillId="33" borderId="22" xfId="0" applyNumberFormat="1" applyFont="1" applyFill="1" applyBorder="1" applyAlignment="1">
      <alignment horizontal="center" vertical="center" wrapText="1"/>
    </xf>
    <xf numFmtId="183" fontId="85" fillId="35" borderId="19" xfId="0" applyNumberFormat="1" applyFont="1" applyFill="1" applyBorder="1" applyAlignment="1">
      <alignment horizontal="center"/>
    </xf>
    <xf numFmtId="4" fontId="85" fillId="33" borderId="12" xfId="0" applyNumberFormat="1" applyFont="1" applyFill="1" applyBorder="1" applyAlignment="1">
      <alignment horizontal="center" vertical="center" wrapText="1"/>
    </xf>
    <xf numFmtId="4" fontId="85" fillId="33" borderId="3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85" fillId="33" borderId="12" xfId="0" applyFont="1" applyFill="1" applyBorder="1" applyAlignment="1">
      <alignment horizontal="center" vertical="center" wrapText="1"/>
    </xf>
    <xf numFmtId="0" fontId="85" fillId="35" borderId="19" xfId="0" applyFont="1" applyFill="1" applyBorder="1" applyAlignment="1">
      <alignment horizontal="center" vertical="center" wrapText="1"/>
    </xf>
    <xf numFmtId="0" fontId="85" fillId="33" borderId="30" xfId="0" applyFont="1" applyFill="1" applyBorder="1" applyAlignment="1">
      <alignment horizontal="center" vertical="center" wrapText="1"/>
    </xf>
    <xf numFmtId="0" fontId="85" fillId="33" borderId="26" xfId="0" applyFont="1" applyFill="1" applyBorder="1" applyAlignment="1">
      <alignment horizontal="center" vertical="center" wrapText="1"/>
    </xf>
    <xf numFmtId="2" fontId="85" fillId="35" borderId="12" xfId="0" applyNumberFormat="1" applyFont="1" applyFill="1" applyBorder="1" applyAlignment="1">
      <alignment horizontal="center"/>
    </xf>
    <xf numFmtId="0" fontId="90" fillId="0" borderId="12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 wrapText="1"/>
    </xf>
    <xf numFmtId="0" fontId="90" fillId="0" borderId="33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 wrapText="1"/>
    </xf>
    <xf numFmtId="0" fontId="85" fillId="0" borderId="33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6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85" fillId="36" borderId="40" xfId="0" applyFont="1" applyFill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0" fontId="96" fillId="0" borderId="25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1" fontId="84" fillId="31" borderId="47" xfId="58" applyNumberFormat="1" applyFont="1" applyFill="1" applyBorder="1" applyAlignment="1" applyProtection="1">
      <alignment horizontal="center" vertical="center" wrapText="1"/>
      <protection locked="0"/>
    </xf>
    <xf numFmtId="1" fontId="84" fillId="31" borderId="48" xfId="58" applyNumberFormat="1" applyFont="1" applyFill="1" applyBorder="1" applyAlignment="1" applyProtection="1">
      <alignment horizontal="center" vertical="center" wrapText="1"/>
      <protection locked="0"/>
    </xf>
    <xf numFmtId="49" fontId="106" fillId="0" borderId="49" xfId="56" applyNumberFormat="1" applyFont="1" applyFill="1" applyBorder="1" applyAlignment="1" applyProtection="1">
      <alignment horizontal="center" vertical="center" wrapText="1"/>
      <protection/>
    </xf>
    <xf numFmtId="0" fontId="106" fillId="0" borderId="49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 applyProtection="1">
      <alignment horizontal="center" vertical="center" wrapText="1"/>
      <protection/>
    </xf>
    <xf numFmtId="0" fontId="19" fillId="31" borderId="47" xfId="55" applyFont="1" applyFill="1" applyBorder="1" applyAlignment="1" applyProtection="1">
      <alignment horizontal="center" wrapText="1"/>
      <protection/>
    </xf>
    <xf numFmtId="0" fontId="19" fillId="31" borderId="48" xfId="55" applyFont="1" applyFill="1" applyBorder="1" applyAlignment="1" applyProtection="1">
      <alignment horizontal="center" wrapText="1"/>
      <protection/>
    </xf>
    <xf numFmtId="14" fontId="19" fillId="34" borderId="0" xfId="58" applyNumberFormat="1" applyFont="1" applyFill="1" applyBorder="1" applyAlignment="1" applyProtection="1">
      <alignment horizontal="center" vertical="center" wrapText="1"/>
      <protection/>
    </xf>
    <xf numFmtId="0" fontId="84" fillId="31" borderId="10" xfId="58" applyNumberFormat="1" applyFont="1" applyFill="1" applyBorder="1" applyAlignment="1" applyProtection="1">
      <alignment horizontal="center" vertical="center" wrapText="1"/>
      <protection locked="0"/>
    </xf>
    <xf numFmtId="0" fontId="19" fillId="31" borderId="10" xfId="58" applyNumberFormat="1" applyFont="1" applyFill="1" applyBorder="1" applyAlignment="1" applyProtection="1">
      <alignment horizontal="center" vertical="center" wrapText="1"/>
      <protection locked="0"/>
    </xf>
    <xf numFmtId="0" fontId="84" fillId="31" borderId="47" xfId="58" applyNumberFormat="1" applyFont="1" applyFill="1" applyBorder="1" applyAlignment="1" applyProtection="1">
      <alignment horizontal="center" vertical="center" wrapText="1"/>
      <protection locked="0"/>
    </xf>
    <xf numFmtId="0" fontId="84" fillId="31" borderId="48" xfId="58" applyNumberFormat="1" applyFont="1" applyFill="1" applyBorder="1" applyAlignment="1" applyProtection="1">
      <alignment horizontal="center" vertical="center" wrapText="1"/>
      <protection locked="0"/>
    </xf>
    <xf numFmtId="49" fontId="19" fillId="34" borderId="0" xfId="58" applyNumberFormat="1" applyFont="1" applyFill="1" applyBorder="1" applyAlignment="1" applyProtection="1">
      <alignment horizontal="center" vertical="center" wrapText="1"/>
      <protection/>
    </xf>
    <xf numFmtId="49" fontId="19" fillId="31" borderId="47" xfId="58" applyNumberFormat="1" applyFont="1" applyFill="1" applyBorder="1" applyAlignment="1" applyProtection="1">
      <alignment horizontal="center" vertical="center" wrapText="1"/>
      <protection/>
    </xf>
    <xf numFmtId="49" fontId="19" fillId="31" borderId="48" xfId="58" applyNumberFormat="1" applyFont="1" applyFill="1" applyBorder="1" applyAlignment="1" applyProtection="1">
      <alignment horizontal="center" vertical="center" wrapText="1"/>
      <protection/>
    </xf>
    <xf numFmtId="0" fontId="20" fillId="34" borderId="50" xfId="56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9" fillId="31" borderId="47" xfId="0" applyFont="1" applyFill="1" applyBorder="1" applyAlignment="1" applyProtection="1">
      <alignment horizontal="center" vertical="center" wrapText="1"/>
      <protection/>
    </xf>
    <xf numFmtId="0" fontId="19" fillId="31" borderId="48" xfId="0" applyFont="1" applyFill="1" applyBorder="1" applyAlignment="1" applyProtection="1">
      <alignment horizontal="center" vertical="center" wrapText="1"/>
      <protection/>
    </xf>
    <xf numFmtId="49" fontId="19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19" fillId="31" borderId="47" xfId="56" applyFont="1" applyFill="1" applyBorder="1" applyAlignment="1" applyProtection="1">
      <alignment horizontal="center" vertical="center"/>
      <protection/>
    </xf>
    <xf numFmtId="0" fontId="19" fillId="31" borderId="48" xfId="56" applyFont="1" applyFill="1" applyBorder="1" applyAlignment="1" applyProtection="1">
      <alignment horizontal="center" vertical="center"/>
      <protection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0" fontId="85" fillId="0" borderId="32" xfId="0" applyFont="1" applyBorder="1" applyAlignment="1">
      <alignment horizontal="center" vertical="top" wrapText="1"/>
    </xf>
    <xf numFmtId="0" fontId="85" fillId="0" borderId="22" xfId="0" applyFont="1" applyBorder="1" applyAlignment="1">
      <alignment horizontal="center" vertical="top" wrapText="1"/>
    </xf>
    <xf numFmtId="0" fontId="85" fillId="0" borderId="11" xfId="0" applyFont="1" applyBorder="1" applyAlignment="1">
      <alignment horizontal="center" vertical="top" wrapText="1"/>
    </xf>
    <xf numFmtId="0" fontId="95" fillId="0" borderId="44" xfId="0" applyFont="1" applyBorder="1" applyAlignment="1">
      <alignment horizontal="center"/>
    </xf>
    <xf numFmtId="0" fontId="90" fillId="0" borderId="53" xfId="0" applyFont="1" applyBorder="1" applyAlignment="1">
      <alignment horizontal="center" vertical="center" wrapText="1"/>
    </xf>
    <xf numFmtId="0" fontId="90" fillId="0" borderId="43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3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90" fillId="0" borderId="53" xfId="0" applyFont="1" applyBorder="1" applyAlignment="1">
      <alignment horizontal="center" wrapText="1"/>
    </xf>
    <xf numFmtId="0" fontId="90" fillId="0" borderId="43" xfId="0" applyFont="1" applyBorder="1" applyAlignment="1">
      <alignment horizontal="center" wrapText="1"/>
    </xf>
    <xf numFmtId="0" fontId="90" fillId="0" borderId="19" xfId="0" applyFont="1" applyBorder="1" applyAlignment="1">
      <alignment horizontal="center" wrapText="1"/>
    </xf>
    <xf numFmtId="0" fontId="95" fillId="0" borderId="0" xfId="0" applyFont="1" applyFill="1" applyBorder="1" applyAlignment="1">
      <alignment horizontal="center" wrapText="1"/>
    </xf>
    <xf numFmtId="0" fontId="85" fillId="0" borderId="54" xfId="0" applyFont="1" applyBorder="1" applyAlignment="1">
      <alignment horizontal="center" vertical="center" wrapText="1"/>
    </xf>
    <xf numFmtId="0" fontId="85" fillId="0" borderId="53" xfId="0" applyFont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0" fontId="90" fillId="0" borderId="53" xfId="0" applyFont="1" applyBorder="1" applyAlignment="1">
      <alignment horizontal="center" vertical="center"/>
    </xf>
    <xf numFmtId="0" fontId="90" fillId="0" borderId="43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94" fillId="0" borderId="53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5" fillId="0" borderId="53" xfId="0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85" fillId="0" borderId="33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top" wrapText="1"/>
    </xf>
    <xf numFmtId="0" fontId="90" fillId="0" borderId="57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90" fillId="0" borderId="58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/>
    </xf>
    <xf numFmtId="49" fontId="106" fillId="0" borderId="0" xfId="56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03" fillId="0" borderId="59" xfId="0" applyFont="1" applyFill="1" applyBorder="1" applyAlignment="1">
      <alignment horizontal="left"/>
    </xf>
    <xf numFmtId="0" fontId="92" fillId="0" borderId="19" xfId="0" applyFont="1" applyBorder="1" applyAlignment="1">
      <alignment/>
    </xf>
    <xf numFmtId="0" fontId="14" fillId="0" borderId="17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183" fontId="14" fillId="35" borderId="17" xfId="0" applyNumberFormat="1" applyFont="1" applyFill="1" applyBorder="1" applyAlignment="1">
      <alignment horizontal="center"/>
    </xf>
    <xf numFmtId="183" fontId="14" fillId="35" borderId="20" xfId="0" applyNumberFormat="1" applyFont="1" applyFill="1" applyBorder="1" applyAlignment="1">
      <alignment horizontal="center"/>
    </xf>
    <xf numFmtId="0" fontId="92" fillId="35" borderId="0" xfId="0" applyFont="1" applyFill="1" applyAlignment="1">
      <alignment horizontal="right"/>
    </xf>
    <xf numFmtId="0" fontId="17" fillId="0" borderId="0" xfId="53" applyFont="1" applyAlignment="1">
      <alignment horizontal="left"/>
      <protection/>
    </xf>
    <xf numFmtId="0" fontId="17" fillId="31" borderId="0" xfId="53" applyFont="1" applyFill="1" applyBorder="1" applyAlignment="1">
      <alignment horizontal="center" vertical="top" wrapText="1"/>
      <protection/>
    </xf>
    <xf numFmtId="0" fontId="16" fillId="0" borderId="32" xfId="53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32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0" borderId="22" xfId="53" applyFont="1" applyFill="1" applyBorder="1" applyAlignment="1">
      <alignment horizontal="center" vertical="center" wrapText="1"/>
      <protection/>
    </xf>
    <xf numFmtId="0" fontId="14" fillId="0" borderId="1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7" fillId="0" borderId="0" xfId="53" applyFont="1" applyBorder="1" applyAlignment="1">
      <alignment horizontal="justify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_PRIL1.ELECTR" xfId="55"/>
    <cellStyle name="Обычный_ЖКУ_проект3" xfId="56"/>
    <cellStyle name="Обычный_форма 1 водопровод для орг" xfId="57"/>
    <cellStyle name="Обычный_форма 1 водопровод для орг_CALC.KV.4.78(v1.0)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32"/>
  <sheetViews>
    <sheetView zoomScalePageLayoutView="0" workbookViewId="0" topLeftCell="A1">
      <selection activeCell="C32" sqref="C32"/>
    </sheetView>
  </sheetViews>
  <sheetFormatPr defaultColWidth="9.140625" defaultRowHeight="15"/>
  <cols>
    <col min="2" max="2" width="26.57421875" style="0" customWidth="1"/>
    <col min="3" max="3" width="30.28125" style="0" customWidth="1"/>
    <col min="4" max="4" width="4.140625" style="0" customWidth="1"/>
    <col min="5" max="5" width="13.28125" style="0" customWidth="1"/>
    <col min="6" max="6" width="15.7109375" style="0" customWidth="1"/>
  </cols>
  <sheetData>
    <row r="7" spans="2:6" ht="15.75" customHeight="1">
      <c r="B7" s="326" t="s">
        <v>2</v>
      </c>
      <c r="C7" s="327" t="s">
        <v>20</v>
      </c>
      <c r="D7" s="327" t="s">
        <v>0</v>
      </c>
      <c r="E7" s="329" t="s">
        <v>10</v>
      </c>
      <c r="F7" s="329" t="s">
        <v>21</v>
      </c>
    </row>
    <row r="8" spans="2:6" ht="15.75" customHeight="1">
      <c r="B8" s="326"/>
      <c r="C8" s="328"/>
      <c r="D8" s="328"/>
      <c r="E8" s="330"/>
      <c r="F8" s="330"/>
    </row>
    <row r="9" spans="2:6" ht="15.75">
      <c r="B9" s="3">
        <v>1</v>
      </c>
      <c r="C9" s="3"/>
      <c r="D9" s="3"/>
      <c r="E9" s="8"/>
      <c r="F9" s="8"/>
    </row>
    <row r="10" spans="2:8" ht="17.25" customHeight="1">
      <c r="B10" s="2" t="s">
        <v>3</v>
      </c>
      <c r="C10" s="2" t="s">
        <v>16</v>
      </c>
      <c r="D10" s="2">
        <v>4</v>
      </c>
      <c r="E10" s="8">
        <v>561770</v>
      </c>
      <c r="F10" s="8">
        <f>626861.04+626793.6+663631.56+663631.56</f>
        <v>2580917.7600000002</v>
      </c>
      <c r="G10" s="14">
        <f>F10/E10</f>
        <v>4.594260569272122</v>
      </c>
      <c r="H10">
        <f>E10/D10</f>
        <v>140442.5</v>
      </c>
    </row>
    <row r="11" spans="2:8" ht="17.25" customHeight="1">
      <c r="B11" s="2" t="s">
        <v>4</v>
      </c>
      <c r="C11" s="2" t="s">
        <v>17</v>
      </c>
      <c r="D11" s="2">
        <v>3</v>
      </c>
      <c r="E11" s="8">
        <v>426123</v>
      </c>
      <c r="F11" s="8">
        <f>0+0+0</f>
        <v>0</v>
      </c>
      <c r="G11" s="14">
        <f aca="true" t="shared" si="0" ref="G11:G19">F11/E11</f>
        <v>0</v>
      </c>
      <c r="H11">
        <f aca="true" t="shared" si="1" ref="H11:H19">E11/D11</f>
        <v>142041</v>
      </c>
    </row>
    <row r="12" spans="2:8" ht="17.25" customHeight="1">
      <c r="B12" s="2" t="s">
        <v>5</v>
      </c>
      <c r="C12" s="2">
        <v>2564.2565</v>
      </c>
      <c r="D12" s="2">
        <v>2</v>
      </c>
      <c r="E12" s="8">
        <v>280106</v>
      </c>
      <c r="F12" s="8">
        <f>432325.56*2</f>
        <v>864651.12</v>
      </c>
      <c r="G12" s="14">
        <f t="shared" si="0"/>
        <v>3.08687111307862</v>
      </c>
      <c r="H12">
        <f t="shared" si="1"/>
        <v>140053</v>
      </c>
    </row>
    <row r="13" spans="2:8" ht="17.25" customHeight="1">
      <c r="B13" s="2" t="s">
        <v>6</v>
      </c>
      <c r="C13" s="2" t="s">
        <v>18</v>
      </c>
      <c r="D13" s="2">
        <v>3</v>
      </c>
      <c r="E13" s="8">
        <v>436468</v>
      </c>
      <c r="F13" s="8">
        <f>461403.72+460491.96+460491.96</f>
        <v>1382387.64</v>
      </c>
      <c r="G13" s="14">
        <f t="shared" si="0"/>
        <v>3.167214182941246</v>
      </c>
      <c r="H13">
        <f t="shared" si="1"/>
        <v>145489.33333333334</v>
      </c>
    </row>
    <row r="14" spans="2:8" ht="17.25" customHeight="1">
      <c r="B14" s="2" t="s">
        <v>7</v>
      </c>
      <c r="C14" s="2">
        <v>2511</v>
      </c>
      <c r="D14" s="2">
        <v>1</v>
      </c>
      <c r="E14" s="8">
        <v>132716</v>
      </c>
      <c r="F14" s="4">
        <v>0</v>
      </c>
      <c r="G14" s="14">
        <f t="shared" si="0"/>
        <v>0</v>
      </c>
      <c r="H14">
        <f t="shared" si="1"/>
        <v>132716</v>
      </c>
    </row>
    <row r="15" spans="2:8" s="1" customFormat="1" ht="17.25" customHeight="1">
      <c r="B15" s="9" t="s">
        <v>11</v>
      </c>
      <c r="C15" s="9" t="s">
        <v>13</v>
      </c>
      <c r="D15" s="9">
        <v>5</v>
      </c>
      <c r="E15" s="10">
        <v>470535</v>
      </c>
      <c r="F15" s="10">
        <f>367452.2+360008.17+207091.2+0+236076.72</f>
        <v>1170628.29</v>
      </c>
      <c r="G15" s="14">
        <f t="shared" si="0"/>
        <v>2.487866556154165</v>
      </c>
      <c r="H15">
        <f t="shared" si="1"/>
        <v>94107</v>
      </c>
    </row>
    <row r="16" spans="2:8" s="1" customFormat="1" ht="34.5" customHeight="1">
      <c r="B16" s="9" t="s">
        <v>12</v>
      </c>
      <c r="C16" s="9" t="s">
        <v>15</v>
      </c>
      <c r="D16" s="9">
        <v>8</v>
      </c>
      <c r="E16" s="10">
        <v>811267</v>
      </c>
      <c r="F16" s="10">
        <f>30178.88+30178.88+61442.51+151719.58+403978.32+0+0+0</f>
        <v>677498.1699999999</v>
      </c>
      <c r="G16" s="14">
        <f t="shared" si="0"/>
        <v>0.835111214926775</v>
      </c>
      <c r="H16">
        <f t="shared" si="1"/>
        <v>101408.375</v>
      </c>
    </row>
    <row r="17" spans="2:8" ht="17.25" customHeight="1">
      <c r="B17" s="2" t="s">
        <v>8</v>
      </c>
      <c r="C17" s="2">
        <v>2505.2555</v>
      </c>
      <c r="D17" s="2">
        <v>2</v>
      </c>
      <c r="E17" s="8">
        <v>223416</v>
      </c>
      <c r="F17" s="8">
        <f>268965.48+421638.36</f>
        <v>690603.84</v>
      </c>
      <c r="G17" s="14">
        <f t="shared" si="0"/>
        <v>3.091111827263938</v>
      </c>
      <c r="H17">
        <f t="shared" si="1"/>
        <v>111708</v>
      </c>
    </row>
    <row r="18" spans="2:8" ht="17.25" customHeight="1">
      <c r="B18" s="2" t="s">
        <v>9</v>
      </c>
      <c r="C18" s="2" t="s">
        <v>14</v>
      </c>
      <c r="D18" s="2">
        <v>3</v>
      </c>
      <c r="E18" s="8">
        <v>281278</v>
      </c>
      <c r="F18" s="8">
        <f>268965.48+457786.8+557565</f>
        <v>1284317.28</v>
      </c>
      <c r="G18" s="14">
        <f t="shared" si="0"/>
        <v>4.566006868649521</v>
      </c>
      <c r="H18">
        <f t="shared" si="1"/>
        <v>93759.33333333333</v>
      </c>
    </row>
    <row r="19" spans="2:8" ht="17.25" customHeight="1">
      <c r="B19" s="5" t="s">
        <v>1</v>
      </c>
      <c r="C19" s="5"/>
      <c r="D19" s="5">
        <f>SUM(D10:D18)</f>
        <v>31</v>
      </c>
      <c r="E19" s="11">
        <f>SUM(E10:E18)</f>
        <v>3623679</v>
      </c>
      <c r="F19" s="8">
        <f>SUM(F10:F18)</f>
        <v>8651004.1</v>
      </c>
      <c r="G19" s="14">
        <f t="shared" si="0"/>
        <v>2.387353874335999</v>
      </c>
      <c r="H19">
        <f t="shared" si="1"/>
        <v>116892.87096774194</v>
      </c>
    </row>
    <row r="21" spans="2:5" ht="15">
      <c r="B21" t="s">
        <v>19</v>
      </c>
      <c r="E21" s="13">
        <f>F19/E19</f>
        <v>2.387353874335999</v>
      </c>
    </row>
    <row r="22" spans="2:5" ht="15">
      <c r="B22" t="s">
        <v>22</v>
      </c>
      <c r="E22" s="12" t="e">
        <f>#REF!</f>
        <v>#REF!</v>
      </c>
    </row>
    <row r="25" spans="2:8" ht="15.75">
      <c r="B25" s="2" t="s">
        <v>3</v>
      </c>
      <c r="C25" s="6">
        <f>16+10</f>
        <v>26</v>
      </c>
      <c r="E25">
        <v>742</v>
      </c>
      <c r="F25">
        <f>E25*2*C25</f>
        <v>38584</v>
      </c>
      <c r="G25" s="14">
        <f>G10</f>
        <v>4.594260569272122</v>
      </c>
      <c r="H25">
        <f>G25*F25</f>
        <v>177264.94980479556</v>
      </c>
    </row>
    <row r="26" spans="2:8" ht="15.75">
      <c r="B26" s="2" t="s">
        <v>4</v>
      </c>
      <c r="C26" s="6">
        <f>18+12</f>
        <v>30</v>
      </c>
      <c r="E26">
        <v>742</v>
      </c>
      <c r="F26">
        <f aca="true" t="shared" si="2" ref="F26:F31">E26*2*C26</f>
        <v>44520</v>
      </c>
      <c r="G26" s="14">
        <f>G11</f>
        <v>0</v>
      </c>
      <c r="H26">
        <f aca="true" t="shared" si="3" ref="H26:H31">G26*F26</f>
        <v>0</v>
      </c>
    </row>
    <row r="27" spans="2:8" ht="15.75">
      <c r="B27" s="2" t="s">
        <v>5</v>
      </c>
      <c r="C27" s="6">
        <f>4+2</f>
        <v>6</v>
      </c>
      <c r="E27">
        <v>742</v>
      </c>
      <c r="F27">
        <f t="shared" si="2"/>
        <v>8904</v>
      </c>
      <c r="G27" s="14">
        <f>G12</f>
        <v>3.08687111307862</v>
      </c>
      <c r="H27">
        <f t="shared" si="3"/>
        <v>27485.500390852034</v>
      </c>
    </row>
    <row r="28" spans="2:8" ht="15.75">
      <c r="B28" s="2" t="s">
        <v>6</v>
      </c>
      <c r="C28" s="6">
        <f>16+14</f>
        <v>30</v>
      </c>
      <c r="E28">
        <v>742</v>
      </c>
      <c r="F28">
        <f t="shared" si="2"/>
        <v>44520</v>
      </c>
      <c r="G28" s="14">
        <f>G13</f>
        <v>3.167214182941246</v>
      </c>
      <c r="H28">
        <f t="shared" si="3"/>
        <v>141004.37542454427</v>
      </c>
    </row>
    <row r="29" spans="2:8" ht="15.75">
      <c r="B29" s="2" t="s">
        <v>7</v>
      </c>
      <c r="C29" s="6">
        <f>10+4</f>
        <v>14</v>
      </c>
      <c r="E29">
        <v>742</v>
      </c>
      <c r="F29">
        <f t="shared" si="2"/>
        <v>20776</v>
      </c>
      <c r="G29" s="14">
        <f>G14</f>
        <v>0</v>
      </c>
      <c r="H29">
        <f t="shared" si="3"/>
        <v>0</v>
      </c>
    </row>
    <row r="30" spans="2:8" ht="15.75">
      <c r="B30" s="2" t="s">
        <v>8</v>
      </c>
      <c r="C30" s="6">
        <f>6+6</f>
        <v>12</v>
      </c>
      <c r="E30">
        <v>742</v>
      </c>
      <c r="F30">
        <f t="shared" si="2"/>
        <v>17808</v>
      </c>
      <c r="G30" s="14">
        <f>G17</f>
        <v>3.091111827263938</v>
      </c>
      <c r="H30">
        <f t="shared" si="3"/>
        <v>55046.51941991621</v>
      </c>
    </row>
    <row r="31" spans="2:8" ht="15.75">
      <c r="B31" s="2" t="s">
        <v>9</v>
      </c>
      <c r="C31" s="6">
        <f>8+11</f>
        <v>19</v>
      </c>
      <c r="E31">
        <v>742</v>
      </c>
      <c r="F31">
        <f t="shared" si="2"/>
        <v>28196</v>
      </c>
      <c r="G31" s="14">
        <f>G18</f>
        <v>4.566006868649521</v>
      </c>
      <c r="H31">
        <f t="shared" si="3"/>
        <v>128743.12966844189</v>
      </c>
    </row>
    <row r="32" spans="2:8" ht="15.75">
      <c r="B32" s="5" t="s">
        <v>1</v>
      </c>
      <c r="C32" s="7">
        <f>SUM(C25:C31)</f>
        <v>137</v>
      </c>
      <c r="F32">
        <f>SUM(F25:F31)</f>
        <v>203308</v>
      </c>
      <c r="G32" s="14">
        <f>H32/F32</f>
        <v>2.604641601454689</v>
      </c>
      <c r="H32">
        <f>SUM(H25:H31)</f>
        <v>529544.4747085499</v>
      </c>
    </row>
  </sheetData>
  <sheetProtection/>
  <mergeCells count="5">
    <mergeCell ref="B7:B8"/>
    <mergeCell ref="C7:C8"/>
    <mergeCell ref="E7:E8"/>
    <mergeCell ref="F7:F8"/>
    <mergeCell ref="D7:D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X53"/>
  <sheetViews>
    <sheetView zoomScalePageLayoutView="0" workbookViewId="0" topLeftCell="A28">
      <selection activeCell="D17" sqref="D17"/>
    </sheetView>
  </sheetViews>
  <sheetFormatPr defaultColWidth="9.140625" defaultRowHeight="15"/>
  <cols>
    <col min="4" max="4" width="36.421875" style="0" customWidth="1"/>
    <col min="5" max="5" width="21.57421875" style="0" customWidth="1"/>
    <col min="6" max="6" width="21.140625" style="0" customWidth="1"/>
    <col min="7" max="8" width="27.140625" style="0" customWidth="1"/>
    <col min="9" max="9" width="22.7109375" style="0" customWidth="1"/>
  </cols>
  <sheetData>
    <row r="1" spans="7:10" ht="18.75">
      <c r="G1" s="182" t="s">
        <v>286</v>
      </c>
      <c r="H1" s="190"/>
      <c r="I1" s="191"/>
      <c r="J1" s="191"/>
    </row>
    <row r="2" spans="1:24" ht="18.75">
      <c r="A2" s="85" t="str">
        <f>'Перемещение '!A24</f>
        <v>2.7.</v>
      </c>
      <c r="B2" s="85" t="str">
        <f>'Перемещение '!B24</f>
        <v>Спецодежда, инструмент, инвентарь</v>
      </c>
      <c r="C2" s="87"/>
      <c r="D2" s="87"/>
      <c r="E2" s="87"/>
      <c r="F2" s="87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2:24" ht="15.75">
      <c r="B3" s="54"/>
      <c r="C3" s="64" t="s">
        <v>160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2:24" ht="15">
      <c r="B4" s="54"/>
      <c r="C4" s="54" t="s">
        <v>159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2:24" ht="15">
      <c r="B5" s="54"/>
      <c r="C5" s="54" t="s">
        <v>158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3:23" ht="15"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3:23" ht="15">
      <c r="C7" s="54" t="s">
        <v>161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3:23" ht="15">
      <c r="C8" s="54" t="s">
        <v>162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3:23" ht="15">
      <c r="C9" s="54" t="s">
        <v>164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3:23" ht="15">
      <c r="C10" s="54" t="s">
        <v>163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3:23" ht="15">
      <c r="C11" s="54" t="s">
        <v>165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3:23" ht="15.75" thickBot="1"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3:9" ht="19.5" customHeight="1">
      <c r="C13" s="308" t="s">
        <v>119</v>
      </c>
      <c r="D13" s="306" t="s">
        <v>209</v>
      </c>
      <c r="E13" s="308" t="s">
        <v>301</v>
      </c>
      <c r="F13" s="306" t="s">
        <v>303</v>
      </c>
      <c r="G13" s="306" t="s">
        <v>147</v>
      </c>
      <c r="H13" s="306" t="s">
        <v>224</v>
      </c>
      <c r="I13" s="357" t="s">
        <v>308</v>
      </c>
    </row>
    <row r="14" spans="3:9" ht="19.5" thickBot="1">
      <c r="C14" s="120"/>
      <c r="D14" s="72"/>
      <c r="E14" s="72"/>
      <c r="F14" s="72" t="s">
        <v>302</v>
      </c>
      <c r="G14" s="324" t="s">
        <v>133</v>
      </c>
      <c r="H14" s="324" t="s">
        <v>64</v>
      </c>
      <c r="I14" s="357"/>
    </row>
    <row r="15" spans="3:8" ht="19.5" thickBot="1">
      <c r="C15" s="120">
        <v>1</v>
      </c>
      <c r="D15" s="72">
        <v>2</v>
      </c>
      <c r="E15" s="72">
        <v>3</v>
      </c>
      <c r="F15" s="72">
        <v>4</v>
      </c>
      <c r="G15" s="72">
        <v>5</v>
      </c>
      <c r="H15" s="72">
        <v>6</v>
      </c>
    </row>
    <row r="16" spans="3:8" ht="19.5" thickBot="1">
      <c r="C16" s="361" t="s">
        <v>265</v>
      </c>
      <c r="D16" s="362"/>
      <c r="E16" s="362"/>
      <c r="F16" s="362"/>
      <c r="G16" s="362"/>
      <c r="H16" s="363"/>
    </row>
    <row r="17" spans="3:8" ht="19.5" thickBot="1">
      <c r="C17" s="120" t="s">
        <v>23</v>
      </c>
      <c r="D17" s="160"/>
      <c r="E17" s="155"/>
      <c r="F17" s="168"/>
      <c r="G17" s="232"/>
      <c r="H17" s="240">
        <f>E17*F17*G17/1000</f>
        <v>0</v>
      </c>
    </row>
    <row r="18" spans="3:8" ht="19.5" thickBot="1">
      <c r="C18" s="120" t="s">
        <v>27</v>
      </c>
      <c r="D18" s="160"/>
      <c r="E18" s="155"/>
      <c r="F18" s="155"/>
      <c r="G18" s="232"/>
      <c r="H18" s="240">
        <f aca="true" t="shared" si="0" ref="H18:H26">E18*F18*G18/1000</f>
        <v>0</v>
      </c>
    </row>
    <row r="19" spans="3:8" ht="19.5" thickBot="1">
      <c r="C19" s="120" t="s">
        <v>28</v>
      </c>
      <c r="D19" s="160"/>
      <c r="E19" s="155"/>
      <c r="F19" s="155"/>
      <c r="G19" s="232"/>
      <c r="H19" s="240">
        <f t="shared" si="0"/>
        <v>0</v>
      </c>
    </row>
    <row r="20" spans="3:8" ht="19.5" thickBot="1">
      <c r="C20" s="120" t="s">
        <v>31</v>
      </c>
      <c r="D20" s="160"/>
      <c r="E20" s="155"/>
      <c r="F20" s="155"/>
      <c r="G20" s="232"/>
      <c r="H20" s="240">
        <f t="shared" si="0"/>
        <v>0</v>
      </c>
    </row>
    <row r="21" spans="3:8" ht="19.5" thickBot="1">
      <c r="C21" s="120" t="s">
        <v>210</v>
      </c>
      <c r="D21" s="160"/>
      <c r="E21" s="155"/>
      <c r="F21" s="155"/>
      <c r="G21" s="232"/>
      <c r="H21" s="240">
        <f t="shared" si="0"/>
        <v>0</v>
      </c>
    </row>
    <row r="22" spans="3:8" ht="19.5" thickBot="1">
      <c r="C22" s="120" t="s">
        <v>211</v>
      </c>
      <c r="D22" s="160"/>
      <c r="E22" s="155"/>
      <c r="F22" s="155"/>
      <c r="G22" s="232"/>
      <c r="H22" s="240">
        <f t="shared" si="0"/>
        <v>0</v>
      </c>
    </row>
    <row r="23" spans="3:8" ht="19.5" thickBot="1">
      <c r="C23" s="120" t="s">
        <v>217</v>
      </c>
      <c r="D23" s="160"/>
      <c r="E23" s="155"/>
      <c r="F23" s="155"/>
      <c r="G23" s="232"/>
      <c r="H23" s="240">
        <f t="shared" si="0"/>
        <v>0</v>
      </c>
    </row>
    <row r="24" spans="3:8" ht="19.5" thickBot="1">
      <c r="C24" s="120" t="s">
        <v>218</v>
      </c>
      <c r="D24" s="160"/>
      <c r="E24" s="155"/>
      <c r="F24" s="155"/>
      <c r="G24" s="232"/>
      <c r="H24" s="240">
        <f t="shared" si="0"/>
        <v>0</v>
      </c>
    </row>
    <row r="25" spans="3:8" ht="19.5" thickBot="1">
      <c r="C25" s="120" t="s">
        <v>219</v>
      </c>
      <c r="D25" s="160"/>
      <c r="E25" s="155"/>
      <c r="F25" s="155"/>
      <c r="G25" s="232"/>
      <c r="H25" s="240">
        <f t="shared" si="0"/>
        <v>0</v>
      </c>
    </row>
    <row r="26" spans="3:8" ht="19.5" thickBot="1">
      <c r="C26" s="120" t="s">
        <v>220</v>
      </c>
      <c r="D26" s="160"/>
      <c r="E26" s="155"/>
      <c r="F26" s="155"/>
      <c r="G26" s="232"/>
      <c r="H26" s="240">
        <f t="shared" si="0"/>
        <v>0</v>
      </c>
    </row>
    <row r="27" spans="3:8" ht="19.5" thickBot="1">
      <c r="C27" s="76"/>
      <c r="D27" s="75" t="s">
        <v>208</v>
      </c>
      <c r="E27" s="75"/>
      <c r="F27" s="75"/>
      <c r="G27" s="75"/>
      <c r="H27" s="240">
        <f>SUM(H17:H26)</f>
        <v>0</v>
      </c>
    </row>
    <row r="28" spans="3:8" ht="19.5" customHeight="1" thickBot="1">
      <c r="C28" s="358" t="s">
        <v>331</v>
      </c>
      <c r="D28" s="359"/>
      <c r="E28" s="359"/>
      <c r="F28" s="359"/>
      <c r="G28" s="359"/>
      <c r="H28" s="360"/>
    </row>
    <row r="29" spans="3:8" ht="19.5" thickBot="1">
      <c r="C29" s="100" t="s">
        <v>23</v>
      </c>
      <c r="D29" s="160"/>
      <c r="E29" s="155"/>
      <c r="F29" s="168"/>
      <c r="G29" s="232"/>
      <c r="H29" s="240">
        <f>E29*F29*G29/1000</f>
        <v>0</v>
      </c>
    </row>
    <row r="30" spans="3:8" ht="19.5" thickBot="1">
      <c r="C30" s="100" t="s">
        <v>27</v>
      </c>
      <c r="D30" s="160"/>
      <c r="E30" s="155"/>
      <c r="F30" s="155"/>
      <c r="G30" s="232"/>
      <c r="H30" s="240">
        <f aca="true" t="shared" si="1" ref="H30:H38">E30*F30*G30/1000</f>
        <v>0</v>
      </c>
    </row>
    <row r="31" spans="3:8" ht="19.5" thickBot="1">
      <c r="C31" s="100" t="s">
        <v>28</v>
      </c>
      <c r="D31" s="160"/>
      <c r="E31" s="155"/>
      <c r="F31" s="155"/>
      <c r="G31" s="232"/>
      <c r="H31" s="240">
        <f t="shared" si="1"/>
        <v>0</v>
      </c>
    </row>
    <row r="32" spans="3:8" ht="19.5" thickBot="1">
      <c r="C32" s="100" t="s">
        <v>31</v>
      </c>
      <c r="D32" s="160"/>
      <c r="E32" s="155"/>
      <c r="F32" s="155"/>
      <c r="G32" s="232"/>
      <c r="H32" s="240">
        <f t="shared" si="1"/>
        <v>0</v>
      </c>
    </row>
    <row r="33" spans="3:8" ht="19.5" thickBot="1">
      <c r="C33" s="100" t="s">
        <v>210</v>
      </c>
      <c r="D33" s="160"/>
      <c r="E33" s="155"/>
      <c r="F33" s="155"/>
      <c r="G33" s="232"/>
      <c r="H33" s="240">
        <f t="shared" si="1"/>
        <v>0</v>
      </c>
    </row>
    <row r="34" spans="3:8" ht="19.5" thickBot="1">
      <c r="C34" s="100" t="s">
        <v>211</v>
      </c>
      <c r="D34" s="160"/>
      <c r="E34" s="155"/>
      <c r="F34" s="155"/>
      <c r="G34" s="232"/>
      <c r="H34" s="240">
        <f t="shared" si="1"/>
        <v>0</v>
      </c>
    </row>
    <row r="35" spans="3:8" ht="19.5" thickBot="1">
      <c r="C35" s="100" t="s">
        <v>217</v>
      </c>
      <c r="D35" s="160"/>
      <c r="E35" s="155"/>
      <c r="F35" s="155"/>
      <c r="G35" s="232"/>
      <c r="H35" s="240">
        <f t="shared" si="1"/>
        <v>0</v>
      </c>
    </row>
    <row r="36" spans="3:8" ht="19.5" thickBot="1">
      <c r="C36" s="100" t="s">
        <v>218</v>
      </c>
      <c r="D36" s="160"/>
      <c r="E36" s="155"/>
      <c r="F36" s="155"/>
      <c r="G36" s="232"/>
      <c r="H36" s="240">
        <f t="shared" si="1"/>
        <v>0</v>
      </c>
    </row>
    <row r="37" spans="3:8" ht="19.5" thickBot="1">
      <c r="C37" s="100" t="s">
        <v>219</v>
      </c>
      <c r="D37" s="160"/>
      <c r="E37" s="155"/>
      <c r="F37" s="155"/>
      <c r="G37" s="232"/>
      <c r="H37" s="240">
        <f t="shared" si="1"/>
        <v>0</v>
      </c>
    </row>
    <row r="38" spans="3:8" ht="19.5" thickBot="1">
      <c r="C38" s="100" t="s">
        <v>220</v>
      </c>
      <c r="D38" s="160"/>
      <c r="E38" s="155"/>
      <c r="F38" s="155"/>
      <c r="G38" s="232"/>
      <c r="H38" s="240">
        <f t="shared" si="1"/>
        <v>0</v>
      </c>
    </row>
    <row r="39" spans="3:8" ht="19.5" thickBot="1">
      <c r="C39" s="76"/>
      <c r="D39" s="75" t="s">
        <v>208</v>
      </c>
      <c r="E39" s="75"/>
      <c r="F39" s="75"/>
      <c r="G39" s="75"/>
      <c r="H39" s="240">
        <f>SUM(H29:H38)</f>
        <v>0</v>
      </c>
    </row>
    <row r="40" spans="3:8" ht="19.5" thickBot="1">
      <c r="C40" s="358" t="s">
        <v>332</v>
      </c>
      <c r="D40" s="359"/>
      <c r="E40" s="359"/>
      <c r="F40" s="359"/>
      <c r="G40" s="359"/>
      <c r="H40" s="360"/>
    </row>
    <row r="41" spans="3:8" ht="19.5" thickBot="1">
      <c r="C41" s="100" t="s">
        <v>23</v>
      </c>
      <c r="D41" s="160"/>
      <c r="E41" s="155"/>
      <c r="F41" s="168"/>
      <c r="G41" s="150"/>
      <c r="H41" s="240">
        <f>E41*F41*G41/1000</f>
        <v>0</v>
      </c>
    </row>
    <row r="42" spans="3:8" ht="19.5" thickBot="1">
      <c r="C42" s="100" t="s">
        <v>27</v>
      </c>
      <c r="D42" s="160"/>
      <c r="E42" s="155"/>
      <c r="F42" s="155"/>
      <c r="G42" s="150"/>
      <c r="H42" s="240">
        <f aca="true" t="shared" si="2" ref="H42:H50">E42*F42*G42/1000</f>
        <v>0</v>
      </c>
    </row>
    <row r="43" spans="3:8" ht="19.5" thickBot="1">
      <c r="C43" s="100" t="s">
        <v>28</v>
      </c>
      <c r="D43" s="160"/>
      <c r="E43" s="155"/>
      <c r="F43" s="155"/>
      <c r="G43" s="150"/>
      <c r="H43" s="240">
        <f t="shared" si="2"/>
        <v>0</v>
      </c>
    </row>
    <row r="44" spans="3:8" ht="19.5" thickBot="1">
      <c r="C44" s="100" t="s">
        <v>31</v>
      </c>
      <c r="D44" s="160"/>
      <c r="E44" s="155"/>
      <c r="F44" s="155"/>
      <c r="G44" s="150"/>
      <c r="H44" s="240">
        <f t="shared" si="2"/>
        <v>0</v>
      </c>
    </row>
    <row r="45" spans="3:8" ht="19.5" thickBot="1">
      <c r="C45" s="100" t="s">
        <v>210</v>
      </c>
      <c r="D45" s="160"/>
      <c r="E45" s="155"/>
      <c r="F45" s="155"/>
      <c r="G45" s="150"/>
      <c r="H45" s="240">
        <f t="shared" si="2"/>
        <v>0</v>
      </c>
    </row>
    <row r="46" spans="3:8" ht="19.5" thickBot="1">
      <c r="C46" s="100" t="s">
        <v>211</v>
      </c>
      <c r="D46" s="160"/>
      <c r="E46" s="155"/>
      <c r="F46" s="155"/>
      <c r="G46" s="150"/>
      <c r="H46" s="240">
        <f t="shared" si="2"/>
        <v>0</v>
      </c>
    </row>
    <row r="47" spans="3:8" ht="19.5" thickBot="1">
      <c r="C47" s="100" t="s">
        <v>217</v>
      </c>
      <c r="D47" s="160"/>
      <c r="E47" s="155"/>
      <c r="F47" s="155"/>
      <c r="G47" s="150"/>
      <c r="H47" s="240">
        <f t="shared" si="2"/>
        <v>0</v>
      </c>
    </row>
    <row r="48" spans="3:8" ht="19.5" thickBot="1">
      <c r="C48" s="100" t="s">
        <v>218</v>
      </c>
      <c r="D48" s="160"/>
      <c r="E48" s="155"/>
      <c r="F48" s="155"/>
      <c r="G48" s="150"/>
      <c r="H48" s="240">
        <f t="shared" si="2"/>
        <v>0</v>
      </c>
    </row>
    <row r="49" spans="3:8" ht="19.5" thickBot="1">
      <c r="C49" s="100" t="s">
        <v>219</v>
      </c>
      <c r="D49" s="160"/>
      <c r="E49" s="155"/>
      <c r="F49" s="155"/>
      <c r="G49" s="150"/>
      <c r="H49" s="240">
        <f t="shared" si="2"/>
        <v>0</v>
      </c>
    </row>
    <row r="50" spans="3:8" ht="19.5" thickBot="1">
      <c r="C50" s="100" t="s">
        <v>220</v>
      </c>
      <c r="D50" s="160"/>
      <c r="E50" s="155"/>
      <c r="F50" s="155"/>
      <c r="G50" s="150"/>
      <c r="H50" s="240">
        <f t="shared" si="2"/>
        <v>0</v>
      </c>
    </row>
    <row r="51" spans="3:8" ht="19.5" thickBot="1">
      <c r="C51" s="76"/>
      <c r="D51" s="75" t="s">
        <v>208</v>
      </c>
      <c r="E51" s="75"/>
      <c r="F51" s="75"/>
      <c r="G51" s="75"/>
      <c r="H51" s="240">
        <f>SUM(H41:H50)</f>
        <v>0</v>
      </c>
    </row>
    <row r="53" spans="1:7" ht="18.75">
      <c r="A53" s="121" t="s">
        <v>291</v>
      </c>
      <c r="B53" s="115"/>
      <c r="C53" s="114"/>
      <c r="D53" s="114"/>
      <c r="E53" s="114"/>
      <c r="F53" s="114"/>
      <c r="G53" s="114"/>
    </row>
  </sheetData>
  <sheetProtection/>
  <mergeCells count="4">
    <mergeCell ref="C28:H28"/>
    <mergeCell ref="C40:H40"/>
    <mergeCell ref="C16:H16"/>
    <mergeCell ref="I13:I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U15"/>
  <sheetViews>
    <sheetView zoomScalePageLayoutView="0" workbookViewId="0" topLeftCell="A1">
      <selection activeCell="E7" sqref="E7"/>
    </sheetView>
  </sheetViews>
  <sheetFormatPr defaultColWidth="9.140625" defaultRowHeight="15"/>
  <cols>
    <col min="3" max="3" width="7.8515625" style="0" customWidth="1"/>
    <col min="4" max="4" width="59.7109375" style="0" customWidth="1"/>
    <col min="5" max="5" width="19.140625" style="0" customWidth="1"/>
    <col min="6" max="6" width="21.140625" style="0" customWidth="1"/>
    <col min="7" max="7" width="21.00390625" style="0" customWidth="1"/>
    <col min="8" max="8" width="20.28125" style="0" customWidth="1"/>
  </cols>
  <sheetData>
    <row r="1" spans="5:7" ht="18.75">
      <c r="E1" s="182" t="s">
        <v>286</v>
      </c>
      <c r="F1" s="190"/>
      <c r="G1" s="190"/>
    </row>
    <row r="2" spans="1:21" ht="18.75">
      <c r="A2" s="85" t="str">
        <f>'Перемещение '!A25</f>
        <v>2.8.</v>
      </c>
      <c r="B2" s="85" t="str">
        <f>'Перемещение '!B25</f>
        <v>Налоги и сборы, плата за негативное воздействие на окружающую среду</v>
      </c>
      <c r="C2" s="87"/>
      <c r="D2" s="87"/>
      <c r="E2" s="87"/>
      <c r="F2" s="87"/>
      <c r="G2" s="86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1" ht="15.75">
      <c r="B3" s="54"/>
      <c r="C3" s="64" t="s">
        <v>167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3:20" ht="15">
      <c r="C4" s="80" t="s">
        <v>166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ht="15.75" thickBot="1"/>
    <row r="6" spans="3:8" ht="24" customHeight="1" thickBot="1">
      <c r="C6" s="308" t="s">
        <v>119</v>
      </c>
      <c r="D6" s="306" t="s">
        <v>226</v>
      </c>
      <c r="E6" s="392" t="s">
        <v>261</v>
      </c>
      <c r="F6" s="392"/>
      <c r="G6" s="392"/>
      <c r="H6" s="393" t="s">
        <v>308</v>
      </c>
    </row>
    <row r="7" spans="3:8" ht="57" thickBot="1">
      <c r="C7" s="120"/>
      <c r="D7" s="72"/>
      <c r="E7" s="301" t="s">
        <v>265</v>
      </c>
      <c r="F7" s="302" t="s">
        <v>331</v>
      </c>
      <c r="G7" s="300" t="s">
        <v>332</v>
      </c>
      <c r="H7" s="393"/>
    </row>
    <row r="8" spans="3:7" ht="19.5" thickBot="1">
      <c r="C8" s="120">
        <v>1</v>
      </c>
      <c r="D8" s="72">
        <v>2</v>
      </c>
      <c r="E8" s="72">
        <v>3</v>
      </c>
      <c r="F8" s="136">
        <v>4</v>
      </c>
      <c r="G8" s="136">
        <v>5</v>
      </c>
    </row>
    <row r="9" spans="3:8" ht="19.5" customHeight="1" thickBot="1">
      <c r="C9" s="110" t="s">
        <v>23</v>
      </c>
      <c r="D9" s="227" t="s">
        <v>315</v>
      </c>
      <c r="E9" s="241"/>
      <c r="F9" s="241"/>
      <c r="G9" s="269"/>
      <c r="H9" s="229" t="s">
        <v>317</v>
      </c>
    </row>
    <row r="10" spans="3:7" ht="38.25" thickBot="1">
      <c r="C10" s="120" t="s">
        <v>27</v>
      </c>
      <c r="D10" s="160" t="s">
        <v>314</v>
      </c>
      <c r="E10" s="241"/>
      <c r="F10" s="241"/>
      <c r="G10" s="270"/>
    </row>
    <row r="11" spans="3:7" ht="19.5" thickBot="1">
      <c r="C11" s="120" t="s">
        <v>28</v>
      </c>
      <c r="D11" s="228" t="s">
        <v>316</v>
      </c>
      <c r="E11" s="241"/>
      <c r="F11" s="241"/>
      <c r="G11" s="270"/>
    </row>
    <row r="12" spans="3:7" ht="19.5" thickBot="1">
      <c r="C12" s="76"/>
      <c r="D12" s="75" t="s">
        <v>208</v>
      </c>
      <c r="E12" s="240">
        <f>SUM(E9:E11)</f>
        <v>0</v>
      </c>
      <c r="F12" s="240">
        <f>SUM(F9:F11)</f>
        <v>0</v>
      </c>
      <c r="G12" s="240">
        <f>SUM(G9:G11)</f>
        <v>0</v>
      </c>
    </row>
    <row r="15" spans="1:7" ht="18.75">
      <c r="A15" s="121" t="s">
        <v>291</v>
      </c>
      <c r="B15" s="115"/>
      <c r="C15" s="114"/>
      <c r="D15" s="114"/>
      <c r="E15" s="114"/>
      <c r="F15" s="114"/>
      <c r="G15" s="114"/>
    </row>
  </sheetData>
  <sheetProtection/>
  <mergeCells count="2">
    <mergeCell ref="E6:G6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V32"/>
  <sheetViews>
    <sheetView zoomScalePageLayoutView="0" workbookViewId="0" topLeftCell="A22">
      <selection activeCell="C8" sqref="C8:I11"/>
    </sheetView>
  </sheetViews>
  <sheetFormatPr defaultColWidth="9.140625" defaultRowHeight="15"/>
  <cols>
    <col min="4" max="4" width="30.140625" style="0" customWidth="1"/>
    <col min="5" max="5" width="16.140625" style="0" customWidth="1"/>
    <col min="6" max="6" width="21.00390625" style="0" customWidth="1"/>
    <col min="7" max="8" width="21.421875" style="0" customWidth="1"/>
    <col min="9" max="9" width="25.57421875" style="0" customWidth="1"/>
    <col min="10" max="10" width="28.28125" style="0" customWidth="1"/>
    <col min="12" max="15" width="9.140625" style="0" customWidth="1"/>
  </cols>
  <sheetData>
    <row r="1" spans="7:9" ht="18.75">
      <c r="G1" s="182" t="s">
        <v>286</v>
      </c>
      <c r="H1" s="182"/>
      <c r="I1" s="190"/>
    </row>
    <row r="2" spans="1:10" ht="18.75">
      <c r="A2" s="85" t="str">
        <f>'Перемещение '!A26</f>
        <v>2.9. </v>
      </c>
      <c r="B2" s="85" t="str">
        <f>'Перемещение '!B26</f>
        <v>Содержание диспетчерского персонала (не более 10% от затрат)</v>
      </c>
      <c r="C2" s="87"/>
      <c r="D2" s="87"/>
      <c r="E2" s="87"/>
      <c r="F2" s="87"/>
      <c r="G2" s="87"/>
      <c r="H2" s="87"/>
      <c r="I2" s="86"/>
      <c r="J2" s="86"/>
    </row>
    <row r="3" spans="3:22" ht="15.75">
      <c r="C3" s="64" t="s">
        <v>172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3:22" ht="15.75">
      <c r="C4" s="64" t="s">
        <v>227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3:22" ht="15.75">
      <c r="C5" s="64" t="s">
        <v>168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3:22" ht="15.75">
      <c r="C6" s="64" t="s">
        <v>169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3:22" ht="16.5" thickBot="1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3:10" ht="27" customHeight="1">
      <c r="C8" s="308" t="s">
        <v>119</v>
      </c>
      <c r="D8" s="306" t="s">
        <v>124</v>
      </c>
      <c r="E8" s="306" t="s">
        <v>259</v>
      </c>
      <c r="F8" s="306" t="s">
        <v>140</v>
      </c>
      <c r="G8" s="306" t="s">
        <v>221</v>
      </c>
      <c r="H8" s="314" t="s">
        <v>206</v>
      </c>
      <c r="I8" s="314" t="s">
        <v>206</v>
      </c>
      <c r="J8" s="357" t="s">
        <v>308</v>
      </c>
    </row>
    <row r="9" spans="3:10" ht="18.75">
      <c r="C9" s="309"/>
      <c r="D9" s="307" t="s">
        <v>138</v>
      </c>
      <c r="E9" s="307" t="s">
        <v>258</v>
      </c>
      <c r="F9" s="307" t="s">
        <v>141</v>
      </c>
      <c r="G9" s="307" t="s">
        <v>222</v>
      </c>
      <c r="H9" s="315" t="s">
        <v>207</v>
      </c>
      <c r="I9" s="315" t="s">
        <v>207</v>
      </c>
      <c r="J9" s="357"/>
    </row>
    <row r="10" spans="3:10" ht="18.75">
      <c r="C10" s="310"/>
      <c r="D10" s="316"/>
      <c r="E10" s="307" t="s">
        <v>139</v>
      </c>
      <c r="F10" s="307" t="s">
        <v>142</v>
      </c>
      <c r="G10" s="317" t="s">
        <v>100</v>
      </c>
      <c r="H10" s="315" t="s">
        <v>269</v>
      </c>
      <c r="I10" s="315" t="s">
        <v>223</v>
      </c>
      <c r="J10" s="357"/>
    </row>
    <row r="11" spans="3:10" ht="19.5" thickBot="1">
      <c r="C11" s="312"/>
      <c r="D11" s="313"/>
      <c r="E11" s="313"/>
      <c r="F11" s="318" t="s">
        <v>133</v>
      </c>
      <c r="G11" s="319"/>
      <c r="H11" s="317" t="s">
        <v>136</v>
      </c>
      <c r="I11" s="317" t="s">
        <v>100</v>
      </c>
      <c r="J11" s="357"/>
    </row>
    <row r="12" spans="3:9" ht="19.5" thickBot="1">
      <c r="C12" s="100">
        <v>1</v>
      </c>
      <c r="D12" s="72">
        <v>2</v>
      </c>
      <c r="E12" s="72">
        <v>3</v>
      </c>
      <c r="F12" s="72">
        <v>4</v>
      </c>
      <c r="G12" s="72">
        <v>5</v>
      </c>
      <c r="H12" s="110">
        <v>6</v>
      </c>
      <c r="I12" s="136">
        <v>7</v>
      </c>
    </row>
    <row r="13" spans="3:9" ht="19.5" customHeight="1" thickBot="1">
      <c r="C13" s="361" t="s">
        <v>265</v>
      </c>
      <c r="D13" s="362"/>
      <c r="E13" s="362"/>
      <c r="F13" s="362"/>
      <c r="G13" s="362"/>
      <c r="H13" s="362"/>
      <c r="I13" s="363"/>
    </row>
    <row r="14" spans="3:9" ht="19.5" thickBot="1">
      <c r="C14" s="110" t="s">
        <v>23</v>
      </c>
      <c r="D14" s="287" t="s">
        <v>322</v>
      </c>
      <c r="E14" s="154"/>
      <c r="F14" s="259"/>
      <c r="G14" s="239">
        <f>E14*F14*12/1000</f>
        <v>0</v>
      </c>
      <c r="H14" s="292"/>
      <c r="I14" s="249">
        <f>G14*H14/100</f>
        <v>0</v>
      </c>
    </row>
    <row r="15" spans="3:9" ht="19.5" thickBot="1">
      <c r="C15" s="120"/>
      <c r="D15" s="75" t="s">
        <v>137</v>
      </c>
      <c r="E15" s="153">
        <f>SUM(E14)</f>
        <v>0</v>
      </c>
      <c r="F15" s="238"/>
      <c r="G15" s="288">
        <f>SUM(G14)</f>
        <v>0</v>
      </c>
      <c r="H15" s="289"/>
      <c r="I15" s="291">
        <f>SUM(I14)</f>
        <v>0</v>
      </c>
    </row>
    <row r="16" spans="3:9" ht="19.5" customHeight="1" thickBot="1">
      <c r="C16" s="358" t="s">
        <v>331</v>
      </c>
      <c r="D16" s="359"/>
      <c r="E16" s="359"/>
      <c r="F16" s="359"/>
      <c r="G16" s="359"/>
      <c r="H16" s="359"/>
      <c r="I16" s="360"/>
    </row>
    <row r="17" spans="3:9" ht="19.5" thickBot="1">
      <c r="C17" s="120" t="s">
        <v>23</v>
      </c>
      <c r="D17" s="160" t="s">
        <v>322</v>
      </c>
      <c r="E17" s="155"/>
      <c r="F17" s="232"/>
      <c r="G17" s="239">
        <f>E17*F17*12/1000</f>
        <v>0</v>
      </c>
      <c r="H17" s="293"/>
      <c r="I17" s="249">
        <f>G17*H17/100</f>
        <v>0</v>
      </c>
    </row>
    <row r="18" spans="3:9" ht="19.5" thickBot="1">
      <c r="C18" s="120"/>
      <c r="D18" s="72" t="s">
        <v>137</v>
      </c>
      <c r="E18" s="153">
        <f>SUM(E17)</f>
        <v>0</v>
      </c>
      <c r="F18" s="72"/>
      <c r="G18" s="288">
        <f>SUM(G17)</f>
        <v>0</v>
      </c>
      <c r="H18" s="289"/>
      <c r="I18" s="291">
        <f>SUM(I17)</f>
        <v>0</v>
      </c>
    </row>
    <row r="19" spans="3:9" ht="19.5" customHeight="1" thickBot="1">
      <c r="C19" s="358" t="s">
        <v>332</v>
      </c>
      <c r="D19" s="359"/>
      <c r="E19" s="359"/>
      <c r="F19" s="359"/>
      <c r="G19" s="359"/>
      <c r="H19" s="359"/>
      <c r="I19" s="360"/>
    </row>
    <row r="20" spans="3:9" ht="19.5" thickBot="1">
      <c r="C20" s="120" t="s">
        <v>23</v>
      </c>
      <c r="D20" s="160" t="s">
        <v>322</v>
      </c>
      <c r="E20" s="155"/>
      <c r="F20" s="232"/>
      <c r="G20" s="239">
        <f>E20*F20*12/1000</f>
        <v>0</v>
      </c>
      <c r="H20" s="292"/>
      <c r="I20" s="291">
        <f>G20*H20/100</f>
        <v>0</v>
      </c>
    </row>
    <row r="21" spans="3:9" ht="19.5" thickBot="1">
      <c r="C21" s="120"/>
      <c r="D21" s="72" t="s">
        <v>137</v>
      </c>
      <c r="E21" s="153">
        <f>SUM(E20)</f>
        <v>0</v>
      </c>
      <c r="F21" s="72"/>
      <c r="G21" s="288">
        <f>SUM(G20)</f>
        <v>0</v>
      </c>
      <c r="H21" s="290"/>
      <c r="I21" s="291">
        <f>SUM(I20)</f>
        <v>0</v>
      </c>
    </row>
    <row r="22" ht="15.75" thickBot="1">
      <c r="H22" s="191"/>
    </row>
    <row r="23" spans="3:8" ht="19.5" thickBot="1">
      <c r="C23" s="308" t="s">
        <v>119</v>
      </c>
      <c r="D23" s="306" t="s">
        <v>209</v>
      </c>
      <c r="E23" s="392" t="s">
        <v>281</v>
      </c>
      <c r="F23" s="392"/>
      <c r="G23" s="392"/>
      <c r="H23" s="281"/>
    </row>
    <row r="24" spans="3:8" ht="57" thickBot="1">
      <c r="C24" s="120"/>
      <c r="D24" s="72"/>
      <c r="E24" s="301" t="s">
        <v>265</v>
      </c>
      <c r="F24" s="302" t="s">
        <v>331</v>
      </c>
      <c r="G24" s="300" t="s">
        <v>332</v>
      </c>
      <c r="H24" s="283"/>
    </row>
    <row r="25" spans="3:8" ht="19.5" thickBot="1">
      <c r="C25" s="120">
        <v>1</v>
      </c>
      <c r="D25" s="72">
        <v>2</v>
      </c>
      <c r="E25" s="72">
        <v>3</v>
      </c>
      <c r="F25" s="131">
        <v>4</v>
      </c>
      <c r="G25" s="131">
        <v>5</v>
      </c>
      <c r="H25" s="284"/>
    </row>
    <row r="26" spans="3:8" ht="19.5" thickBot="1">
      <c r="C26" s="120" t="s">
        <v>23</v>
      </c>
      <c r="D26" s="160" t="s">
        <v>304</v>
      </c>
      <c r="E26" s="241"/>
      <c r="F26" s="271"/>
      <c r="G26" s="271"/>
      <c r="H26" s="285"/>
    </row>
    <row r="27" spans="3:8" ht="19.5" thickBot="1">
      <c r="C27" s="120" t="s">
        <v>27</v>
      </c>
      <c r="D27" s="160" t="s">
        <v>305</v>
      </c>
      <c r="E27" s="241"/>
      <c r="F27" s="271"/>
      <c r="G27" s="271"/>
      <c r="H27" s="285"/>
    </row>
    <row r="28" spans="3:8" ht="75.75" thickBot="1">
      <c r="C28" s="120" t="s">
        <v>28</v>
      </c>
      <c r="D28" s="160" t="s">
        <v>306</v>
      </c>
      <c r="E28" s="241"/>
      <c r="F28" s="271"/>
      <c r="G28" s="271"/>
      <c r="H28" s="285"/>
    </row>
    <row r="29" spans="3:8" ht="19.5" thickBot="1">
      <c r="C29" s="223"/>
      <c r="D29" s="223" t="s">
        <v>208</v>
      </c>
      <c r="E29" s="239">
        <f>SUM(E26:E28)</f>
        <v>0</v>
      </c>
      <c r="F29" s="239">
        <f>SUM(F26:F28)</f>
        <v>0</v>
      </c>
      <c r="G29" s="239">
        <f>SUM(G26:G28)</f>
        <v>0</v>
      </c>
      <c r="H29" s="282"/>
    </row>
    <row r="30" spans="3:8" ht="19.5" thickBot="1">
      <c r="C30" s="223"/>
      <c r="D30" s="223" t="s">
        <v>307</v>
      </c>
      <c r="E30" s="272">
        <f>G15+I15+E29</f>
        <v>0</v>
      </c>
      <c r="F30" s="272">
        <f>G18+I18+F29</f>
        <v>0</v>
      </c>
      <c r="G30" s="272">
        <f>G21+I21+G29</f>
        <v>0</v>
      </c>
      <c r="H30" s="286"/>
    </row>
    <row r="32" spans="1:8" ht="18.75">
      <c r="A32" s="121" t="s">
        <v>291</v>
      </c>
      <c r="B32" s="115"/>
      <c r="C32" s="114"/>
      <c r="D32" s="114"/>
      <c r="E32" s="114"/>
      <c r="F32" s="114"/>
      <c r="G32" s="114"/>
      <c r="H32" s="114"/>
    </row>
  </sheetData>
  <sheetProtection/>
  <mergeCells count="5">
    <mergeCell ref="J8:J11"/>
    <mergeCell ref="E23:G23"/>
    <mergeCell ref="C13:I13"/>
    <mergeCell ref="C16:I16"/>
    <mergeCell ref="C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P22"/>
  <sheetViews>
    <sheetView zoomScalePageLayoutView="0" workbookViewId="0" topLeftCell="A1">
      <selection activeCell="E9" sqref="E9:G9"/>
    </sheetView>
  </sheetViews>
  <sheetFormatPr defaultColWidth="9.140625" defaultRowHeight="15"/>
  <cols>
    <col min="3" max="3" width="10.140625" style="0" customWidth="1"/>
    <col min="4" max="4" width="55.8515625" style="0" customWidth="1"/>
    <col min="5" max="5" width="22.00390625" style="0" customWidth="1"/>
    <col min="6" max="6" width="20.28125" style="0" customWidth="1"/>
    <col min="7" max="7" width="19.7109375" style="0" customWidth="1"/>
    <col min="8" max="8" width="19.8515625" style="0" customWidth="1"/>
  </cols>
  <sheetData>
    <row r="1" spans="5:8" ht="18.75">
      <c r="E1" s="182" t="s">
        <v>286</v>
      </c>
      <c r="F1" s="190"/>
      <c r="G1" s="190"/>
      <c r="H1" s="191"/>
    </row>
    <row r="2" spans="1:8" ht="18.75">
      <c r="A2" s="85" t="str">
        <f>'Перемещение '!A27</f>
        <v>2.10.</v>
      </c>
      <c r="B2" s="85" t="str">
        <f>'Перемещение '!B27</f>
        <v>Содержание аппарата управления (не более 15% от затрат)</v>
      </c>
      <c r="C2" s="87"/>
      <c r="D2" s="87"/>
      <c r="E2" s="87"/>
      <c r="F2" s="87"/>
      <c r="G2" s="86"/>
      <c r="H2" s="86"/>
    </row>
    <row r="3" spans="3:16" ht="15.75">
      <c r="C3" s="64" t="s">
        <v>173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3:16" ht="15.75">
      <c r="C4" s="64" t="s">
        <v>228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3:16" ht="15.75">
      <c r="C5" s="64" t="s">
        <v>174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6" ht="15.75">
      <c r="C6" s="64" t="s">
        <v>175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3:16" ht="15.75">
      <c r="C7" s="64" t="s">
        <v>176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3:16" ht="16.5" thickBot="1"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3:8" ht="23.25" customHeight="1" thickBot="1">
      <c r="C9" s="308" t="s">
        <v>119</v>
      </c>
      <c r="D9" s="306" t="s">
        <v>209</v>
      </c>
      <c r="E9" s="392" t="s">
        <v>281</v>
      </c>
      <c r="F9" s="392"/>
      <c r="G9" s="392"/>
      <c r="H9" s="357" t="s">
        <v>308</v>
      </c>
    </row>
    <row r="10" spans="3:8" ht="57" thickBot="1">
      <c r="C10" s="120"/>
      <c r="D10" s="72"/>
      <c r="E10" s="301" t="s">
        <v>265</v>
      </c>
      <c r="F10" s="302" t="s">
        <v>331</v>
      </c>
      <c r="G10" s="300" t="s">
        <v>332</v>
      </c>
      <c r="H10" s="357"/>
    </row>
    <row r="11" spans="3:7" ht="19.5" thickBot="1">
      <c r="C11" s="120">
        <v>1</v>
      </c>
      <c r="D11" s="72">
        <v>2</v>
      </c>
      <c r="E11" s="72">
        <v>3</v>
      </c>
      <c r="F11" s="131">
        <v>4</v>
      </c>
      <c r="G11" s="131">
        <v>5</v>
      </c>
    </row>
    <row r="12" spans="3:7" ht="19.5" customHeight="1" thickBot="1">
      <c r="C12" s="120" t="s">
        <v>23</v>
      </c>
      <c r="D12" s="160" t="s">
        <v>323</v>
      </c>
      <c r="E12" s="241"/>
      <c r="F12" s="241"/>
      <c r="G12" s="241"/>
    </row>
    <row r="13" spans="3:7" ht="19.5" thickBot="1">
      <c r="C13" s="120" t="s">
        <v>27</v>
      </c>
      <c r="D13" s="160" t="s">
        <v>324</v>
      </c>
      <c r="E13" s="241"/>
      <c r="F13" s="241"/>
      <c r="G13" s="241"/>
    </row>
    <row r="14" spans="3:7" ht="19.5" thickBot="1">
      <c r="C14" s="120" t="s">
        <v>28</v>
      </c>
      <c r="D14" s="160" t="s">
        <v>325</v>
      </c>
      <c r="E14" s="241"/>
      <c r="F14" s="241"/>
      <c r="G14" s="241"/>
    </row>
    <row r="15" spans="3:7" ht="19.5" thickBot="1">
      <c r="C15" s="120" t="s">
        <v>31</v>
      </c>
      <c r="D15" s="160" t="s">
        <v>305</v>
      </c>
      <c r="E15" s="241"/>
      <c r="F15" s="241"/>
      <c r="G15" s="241"/>
    </row>
    <row r="16" spans="3:7" ht="19.5" thickBot="1">
      <c r="C16" s="120" t="s">
        <v>210</v>
      </c>
      <c r="D16" s="160" t="s">
        <v>311</v>
      </c>
      <c r="E16" s="241"/>
      <c r="F16" s="241"/>
      <c r="G16" s="241"/>
    </row>
    <row r="17" spans="3:7" ht="19.5" thickBot="1">
      <c r="C17" s="120" t="s">
        <v>211</v>
      </c>
      <c r="D17" s="160" t="s">
        <v>312</v>
      </c>
      <c r="E17" s="241"/>
      <c r="F17" s="241"/>
      <c r="G17" s="241"/>
    </row>
    <row r="18" spans="3:7" ht="19.5" thickBot="1">
      <c r="C18" s="120" t="s">
        <v>217</v>
      </c>
      <c r="D18" s="160" t="s">
        <v>313</v>
      </c>
      <c r="E18" s="241"/>
      <c r="F18" s="241"/>
      <c r="G18" s="241"/>
    </row>
    <row r="19" spans="3:7" ht="19.5" thickBot="1">
      <c r="C19" s="76"/>
      <c r="D19" s="75" t="s">
        <v>208</v>
      </c>
      <c r="E19" s="240">
        <f>SUM(E12:E18)</f>
        <v>0</v>
      </c>
      <c r="F19" s="240">
        <f>SUM(F12:F18)</f>
        <v>0</v>
      </c>
      <c r="G19" s="240">
        <f>SUM(G12:G18)</f>
        <v>0</v>
      </c>
    </row>
    <row r="22" spans="1:7" ht="18.75">
      <c r="A22" s="121" t="s">
        <v>291</v>
      </c>
      <c r="B22" s="115"/>
      <c r="C22" s="114"/>
      <c r="D22" s="114"/>
      <c r="E22" s="114"/>
      <c r="F22" s="114"/>
      <c r="G22" s="114"/>
    </row>
  </sheetData>
  <sheetProtection/>
  <mergeCells count="2">
    <mergeCell ref="E9:G9"/>
    <mergeCell ref="H9:H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P17"/>
  <sheetViews>
    <sheetView zoomScalePageLayoutView="0" workbookViewId="0" topLeftCell="A1">
      <selection activeCell="F9" sqref="F9"/>
    </sheetView>
  </sheetViews>
  <sheetFormatPr defaultColWidth="9.140625" defaultRowHeight="15"/>
  <cols>
    <col min="4" max="4" width="40.421875" style="0" customWidth="1"/>
    <col min="5" max="5" width="24.8515625" style="0" customWidth="1"/>
    <col min="6" max="6" width="23.57421875" style="0" customWidth="1"/>
    <col min="7" max="7" width="25.7109375" style="0" customWidth="1"/>
    <col min="8" max="8" width="26.140625" style="0" customWidth="1"/>
  </cols>
  <sheetData>
    <row r="1" spans="6:9" ht="18.75">
      <c r="F1" s="182" t="s">
        <v>286</v>
      </c>
      <c r="G1" s="190"/>
      <c r="H1" s="191"/>
      <c r="I1" s="191"/>
    </row>
    <row r="2" spans="1:8" ht="18.75">
      <c r="A2" s="85" t="str">
        <f>'Перемещение '!A28</f>
        <v>2.11.</v>
      </c>
      <c r="B2" s="85" t="str">
        <f>'Перемещение '!B28</f>
        <v>Проценты за пользование заемными средствами</v>
      </c>
      <c r="C2" s="87"/>
      <c r="D2" s="87"/>
      <c r="E2" s="87"/>
      <c r="F2" s="87"/>
      <c r="G2" s="86"/>
      <c r="H2" s="86"/>
    </row>
    <row r="3" spans="3:16" ht="15.75">
      <c r="C3" s="64" t="s">
        <v>177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3:16" ht="15.75">
      <c r="C4" s="64" t="s">
        <v>178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3:16" ht="15.75">
      <c r="C5" s="64" t="s">
        <v>179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6" ht="15.75">
      <c r="C6" s="64" t="s">
        <v>180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3:16" ht="16.5" thickBot="1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3:16" ht="19.5" thickBot="1">
      <c r="C8" s="308" t="s">
        <v>119</v>
      </c>
      <c r="D8" s="306" t="s">
        <v>209</v>
      </c>
      <c r="E8" s="392" t="s">
        <v>281</v>
      </c>
      <c r="F8" s="392"/>
      <c r="G8" s="392"/>
      <c r="H8" s="357" t="s">
        <v>308</v>
      </c>
      <c r="I8" s="64"/>
      <c r="J8" s="64"/>
      <c r="K8" s="64"/>
      <c r="L8" s="64"/>
      <c r="M8" s="64"/>
      <c r="N8" s="64"/>
      <c r="O8" s="64"/>
      <c r="P8" s="64"/>
    </row>
    <row r="9" spans="3:8" ht="57" thickBot="1">
      <c r="C9" s="120"/>
      <c r="D9" s="72"/>
      <c r="E9" s="301" t="s">
        <v>265</v>
      </c>
      <c r="F9" s="302" t="s">
        <v>331</v>
      </c>
      <c r="G9" s="300" t="s">
        <v>332</v>
      </c>
      <c r="H9" s="357"/>
    </row>
    <row r="10" spans="3:7" ht="19.5" thickBot="1">
      <c r="C10" s="120">
        <v>1</v>
      </c>
      <c r="D10" s="72">
        <v>2</v>
      </c>
      <c r="E10" s="72">
        <v>3</v>
      </c>
      <c r="F10" s="131">
        <v>4</v>
      </c>
      <c r="G10" s="131">
        <v>5</v>
      </c>
    </row>
    <row r="11" spans="3:7" ht="19.5" thickBot="1">
      <c r="C11" s="120" t="s">
        <v>23</v>
      </c>
      <c r="D11" s="160"/>
      <c r="E11" s="241"/>
      <c r="F11" s="271"/>
      <c r="G11" s="271"/>
    </row>
    <row r="12" spans="3:7" ht="19.5" thickBot="1">
      <c r="C12" s="120" t="s">
        <v>27</v>
      </c>
      <c r="D12" s="160"/>
      <c r="E12" s="241"/>
      <c r="F12" s="271"/>
      <c r="G12" s="271"/>
    </row>
    <row r="13" spans="3:7" ht="19.5" thickBot="1">
      <c r="C13" s="120" t="s">
        <v>28</v>
      </c>
      <c r="D13" s="160"/>
      <c r="E13" s="241"/>
      <c r="F13" s="271"/>
      <c r="G13" s="271"/>
    </row>
    <row r="14" spans="3:7" ht="19.5" thickBot="1">
      <c r="C14" s="76"/>
      <c r="D14" s="75" t="s">
        <v>208</v>
      </c>
      <c r="E14" s="240">
        <f>SUM(E11:E13)</f>
        <v>0</v>
      </c>
      <c r="F14" s="240">
        <f>SUM(F11:F13)</f>
        <v>0</v>
      </c>
      <c r="G14" s="240">
        <f>SUM(G11:G13)</f>
        <v>0</v>
      </c>
    </row>
    <row r="17" spans="1:7" ht="18.75">
      <c r="A17" s="121" t="s">
        <v>291</v>
      </c>
      <c r="B17" s="115"/>
      <c r="C17" s="114"/>
      <c r="D17" s="114"/>
      <c r="E17" s="114"/>
      <c r="F17" s="114"/>
      <c r="G17" s="114"/>
    </row>
  </sheetData>
  <sheetProtection/>
  <mergeCells count="2">
    <mergeCell ref="E8:G8"/>
    <mergeCell ref="H8:H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U14"/>
  <sheetViews>
    <sheetView zoomScalePageLayoutView="0" workbookViewId="0" topLeftCell="A1">
      <selection activeCell="C6" sqref="C6:G7"/>
    </sheetView>
  </sheetViews>
  <sheetFormatPr defaultColWidth="9.140625" defaultRowHeight="15"/>
  <cols>
    <col min="1" max="1" width="14.28125" style="0" customWidth="1"/>
    <col min="3" max="3" width="6.140625" style="0" customWidth="1"/>
    <col min="4" max="4" width="42.7109375" style="0" customWidth="1"/>
    <col min="5" max="5" width="19.00390625" style="0" customWidth="1"/>
    <col min="6" max="6" width="20.57421875" style="0" customWidth="1"/>
    <col min="7" max="7" width="19.7109375" style="0" customWidth="1"/>
    <col min="8" max="8" width="17.421875" style="0" customWidth="1"/>
  </cols>
  <sheetData>
    <row r="1" spans="6:9" ht="18.75">
      <c r="F1" s="182" t="s">
        <v>286</v>
      </c>
      <c r="G1" s="190"/>
      <c r="H1" s="190"/>
      <c r="I1" s="191"/>
    </row>
    <row r="2" spans="1:10" ht="18.75">
      <c r="A2" s="142" t="s">
        <v>93</v>
      </c>
      <c r="B2" s="85" t="str">
        <f>'Перемещение '!B29</f>
        <v>Обеспечение возможности владельцев задержанных ТС вносить </v>
      </c>
      <c r="C2" s="87"/>
      <c r="D2" s="87"/>
      <c r="E2" s="87"/>
      <c r="F2" s="87"/>
      <c r="G2" s="87"/>
      <c r="H2" s="87"/>
      <c r="I2" s="86"/>
      <c r="J2" s="86"/>
    </row>
    <row r="3" spans="2:10" ht="18.75">
      <c r="B3" s="85" t="str">
        <f>'Перемещение '!B30</f>
        <v>оплату за  перемещение задержанных ТС</v>
      </c>
      <c r="C3" s="85"/>
      <c r="D3" s="85"/>
      <c r="E3" s="85"/>
      <c r="F3" s="85"/>
      <c r="G3" s="87"/>
      <c r="H3" s="87"/>
      <c r="I3" s="86"/>
      <c r="J3" s="86"/>
    </row>
    <row r="4" spans="3:21" ht="15.75">
      <c r="C4" s="64" t="s">
        <v>237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3:21" ht="15.75" thickBot="1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3:21" ht="26.25" customHeight="1" thickBot="1">
      <c r="C6" s="308" t="s">
        <v>119</v>
      </c>
      <c r="D6" s="306" t="s">
        <v>209</v>
      </c>
      <c r="E6" s="392" t="s">
        <v>281</v>
      </c>
      <c r="F6" s="392"/>
      <c r="G6" s="392"/>
      <c r="H6" s="357" t="s">
        <v>308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3:8" ht="69" customHeight="1" thickBot="1">
      <c r="C7" s="120"/>
      <c r="D7" s="72"/>
      <c r="E7" s="301" t="s">
        <v>265</v>
      </c>
      <c r="F7" s="302" t="s">
        <v>331</v>
      </c>
      <c r="G7" s="300" t="s">
        <v>332</v>
      </c>
      <c r="H7" s="357"/>
    </row>
    <row r="8" spans="3:7" ht="19.5" thickBot="1">
      <c r="C8" s="120">
        <v>1</v>
      </c>
      <c r="D8" s="72">
        <v>2</v>
      </c>
      <c r="E8" s="72">
        <v>3</v>
      </c>
      <c r="F8" s="131">
        <v>4</v>
      </c>
      <c r="G8" s="131">
        <v>5</v>
      </c>
    </row>
    <row r="9" spans="3:7" ht="38.25" thickBot="1">
      <c r="C9" s="120" t="s">
        <v>23</v>
      </c>
      <c r="D9" s="160" t="s">
        <v>309</v>
      </c>
      <c r="E9" s="241"/>
      <c r="F9" s="241"/>
      <c r="G9" s="241"/>
    </row>
    <row r="10" spans="3:7" ht="19.5" thickBot="1">
      <c r="C10" s="120" t="s">
        <v>27</v>
      </c>
      <c r="D10" s="160" t="s">
        <v>310</v>
      </c>
      <c r="E10" s="241"/>
      <c r="F10" s="241"/>
      <c r="G10" s="241"/>
    </row>
    <row r="11" spans="3:7" ht="19.5" thickBot="1">
      <c r="C11" s="76"/>
      <c r="D11" s="75" t="s">
        <v>208</v>
      </c>
      <c r="E11" s="240">
        <f>SUM(E9:E10)</f>
        <v>0</v>
      </c>
      <c r="F11" s="240">
        <f>SUM(F9:F10)</f>
        <v>0</v>
      </c>
      <c r="G11" s="240">
        <f>SUM(G9:G10)</f>
        <v>0</v>
      </c>
    </row>
    <row r="14" spans="1:7" ht="18.75">
      <c r="A14" s="121" t="s">
        <v>291</v>
      </c>
      <c r="B14" s="115"/>
      <c r="C14" s="114"/>
      <c r="D14" s="114"/>
      <c r="E14" s="114"/>
      <c r="F14" s="114"/>
      <c r="G14" s="114"/>
    </row>
  </sheetData>
  <sheetProtection/>
  <mergeCells count="2">
    <mergeCell ref="E6:G6"/>
    <mergeCell ref="H6:H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22"/>
  <sheetViews>
    <sheetView zoomScalePageLayoutView="0" workbookViewId="0" topLeftCell="A1">
      <selection activeCell="E10" sqref="E10"/>
    </sheetView>
  </sheetViews>
  <sheetFormatPr defaultColWidth="9.140625" defaultRowHeight="15"/>
  <cols>
    <col min="3" max="3" width="7.57421875" style="0" customWidth="1"/>
    <col min="4" max="4" width="55.7109375" style="0" customWidth="1"/>
    <col min="5" max="5" width="27.7109375" style="0" customWidth="1"/>
    <col min="6" max="6" width="22.57421875" style="0" customWidth="1"/>
    <col min="7" max="7" width="25.28125" style="0" customWidth="1"/>
    <col min="8" max="8" width="18.421875" style="0" customWidth="1"/>
  </cols>
  <sheetData>
    <row r="1" spans="5:8" ht="18.75">
      <c r="E1" s="192"/>
      <c r="F1" s="182" t="s">
        <v>286</v>
      </c>
      <c r="G1" s="190"/>
      <c r="H1" s="191"/>
    </row>
    <row r="2" spans="1:3" ht="18.75">
      <c r="A2" s="85" t="str">
        <f>'Перемещение '!A31</f>
        <v>2.13.</v>
      </c>
      <c r="B2" s="85" t="str">
        <f>'Перемещение '!B31</f>
        <v>Иные расходы</v>
      </c>
      <c r="C2" s="87"/>
    </row>
    <row r="3" spans="3:14" ht="15.75">
      <c r="C3" s="64" t="s">
        <v>181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3:14" ht="15.75">
      <c r="C4" s="64" t="s">
        <v>238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3:14" ht="16.5" thickBot="1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3:8" ht="19.5" thickBot="1">
      <c r="C6" s="308" t="s">
        <v>119</v>
      </c>
      <c r="D6" s="306" t="s">
        <v>209</v>
      </c>
      <c r="E6" s="392" t="s">
        <v>282</v>
      </c>
      <c r="F6" s="392"/>
      <c r="G6" s="392"/>
      <c r="H6" s="357" t="s">
        <v>308</v>
      </c>
    </row>
    <row r="7" spans="3:8" ht="77.25" customHeight="1" thickBot="1">
      <c r="C7" s="120"/>
      <c r="D7" s="72"/>
      <c r="E7" s="301" t="s">
        <v>265</v>
      </c>
      <c r="F7" s="302" t="s">
        <v>331</v>
      </c>
      <c r="G7" s="300" t="s">
        <v>332</v>
      </c>
      <c r="H7" s="357"/>
    </row>
    <row r="8" spans="3:7" ht="19.5" thickBot="1">
      <c r="C8" s="120">
        <v>1</v>
      </c>
      <c r="D8" s="72">
        <v>2</v>
      </c>
      <c r="E8" s="72">
        <v>3</v>
      </c>
      <c r="F8" s="131">
        <v>4</v>
      </c>
      <c r="G8" s="131">
        <v>5</v>
      </c>
    </row>
    <row r="9" spans="3:7" ht="19.5" customHeight="1" thickBot="1">
      <c r="C9" s="120" t="s">
        <v>23</v>
      </c>
      <c r="D9" s="160"/>
      <c r="E9" s="241"/>
      <c r="F9" s="271"/>
      <c r="G9" s="271"/>
    </row>
    <row r="10" spans="3:7" ht="19.5" thickBot="1">
      <c r="C10" s="120" t="s">
        <v>27</v>
      </c>
      <c r="D10" s="160"/>
      <c r="E10" s="241"/>
      <c r="F10" s="271"/>
      <c r="G10" s="271"/>
    </row>
    <row r="11" spans="3:7" ht="19.5" thickBot="1">
      <c r="C11" s="120" t="s">
        <v>28</v>
      </c>
      <c r="D11" s="160"/>
      <c r="E11" s="241"/>
      <c r="F11" s="271"/>
      <c r="G11" s="271"/>
    </row>
    <row r="12" spans="3:7" ht="19.5" thickBot="1">
      <c r="C12" s="120" t="s">
        <v>31</v>
      </c>
      <c r="D12" s="160"/>
      <c r="E12" s="241"/>
      <c r="F12" s="271"/>
      <c r="G12" s="271"/>
    </row>
    <row r="13" spans="3:7" ht="19.5" thickBot="1">
      <c r="C13" s="120" t="s">
        <v>210</v>
      </c>
      <c r="D13" s="160"/>
      <c r="E13" s="241"/>
      <c r="F13" s="271"/>
      <c r="G13" s="271"/>
    </row>
    <row r="14" spans="3:7" ht="19.5" thickBot="1">
      <c r="C14" s="120" t="s">
        <v>211</v>
      </c>
      <c r="D14" s="160"/>
      <c r="E14" s="241"/>
      <c r="F14" s="271"/>
      <c r="G14" s="271"/>
    </row>
    <row r="15" spans="3:7" ht="19.5" thickBot="1">
      <c r="C15" s="120" t="s">
        <v>217</v>
      </c>
      <c r="D15" s="160"/>
      <c r="E15" s="241"/>
      <c r="F15" s="271"/>
      <c r="G15" s="271"/>
    </row>
    <row r="16" spans="3:7" ht="19.5" thickBot="1">
      <c r="C16" s="120" t="s">
        <v>218</v>
      </c>
      <c r="D16" s="160"/>
      <c r="E16" s="241"/>
      <c r="F16" s="271"/>
      <c r="G16" s="271"/>
    </row>
    <row r="17" spans="3:7" ht="19.5" customHeight="1" thickBot="1">
      <c r="C17" s="120" t="s">
        <v>219</v>
      </c>
      <c r="D17" s="160"/>
      <c r="E17" s="241"/>
      <c r="F17" s="271"/>
      <c r="G17" s="271"/>
    </row>
    <row r="18" spans="3:7" ht="19.5" thickBot="1">
      <c r="C18" s="120" t="s">
        <v>220</v>
      </c>
      <c r="D18" s="160"/>
      <c r="E18" s="241"/>
      <c r="F18" s="271"/>
      <c r="G18" s="271"/>
    </row>
    <row r="19" spans="3:7" ht="19.5" thickBot="1">
      <c r="C19" s="76"/>
      <c r="D19" s="75" t="s">
        <v>208</v>
      </c>
      <c r="E19" s="240">
        <f>SUM(E9:E18)</f>
        <v>0</v>
      </c>
      <c r="F19" s="240">
        <f>SUM(F9:F18)</f>
        <v>0</v>
      </c>
      <c r="G19" s="240">
        <f>SUM(G9:G18)</f>
        <v>0</v>
      </c>
    </row>
    <row r="22" spans="1:7" ht="18.75">
      <c r="A22" s="121" t="s">
        <v>291</v>
      </c>
      <c r="B22" s="115"/>
      <c r="C22" s="114"/>
      <c r="D22" s="114"/>
      <c r="E22" s="114"/>
      <c r="F22" s="114"/>
      <c r="G22" s="114"/>
    </row>
  </sheetData>
  <sheetProtection/>
  <mergeCells count="2">
    <mergeCell ref="E6:G6"/>
    <mergeCell ref="H6:H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6"/>
  <sheetViews>
    <sheetView zoomScalePageLayoutView="0" workbookViewId="0" topLeftCell="A1">
      <selection activeCell="A6" sqref="A6"/>
    </sheetView>
  </sheetViews>
  <sheetFormatPr defaultColWidth="9.140625" defaultRowHeight="15"/>
  <sheetData>
    <row r="1" spans="1:14" ht="18.75">
      <c r="A1" s="85" t="str">
        <f>'Перемещение '!A33</f>
        <v>2.14.</v>
      </c>
      <c r="B1" s="85" t="str">
        <f>'Перемещение '!B33</f>
        <v>Безнадежные долги ( не более 2% от затрат)</v>
      </c>
      <c r="C1" s="87"/>
      <c r="D1" s="87"/>
      <c r="E1" s="87"/>
      <c r="F1" s="87"/>
      <c r="G1" s="86"/>
      <c r="H1" s="86"/>
      <c r="I1" s="54"/>
      <c r="J1" s="54"/>
      <c r="K1" s="54"/>
      <c r="L1" s="54"/>
      <c r="M1" s="54"/>
      <c r="N1" s="54"/>
    </row>
    <row r="2" spans="2:14" ht="15.75">
      <c r="B2" s="54"/>
      <c r="C2" s="64" t="s">
        <v>182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54"/>
    </row>
    <row r="3" spans="2:14" ht="15.75">
      <c r="B3" s="54"/>
      <c r="C3" s="64" t="s">
        <v>239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54"/>
    </row>
    <row r="6" spans="1:7" ht="18.75">
      <c r="A6" s="121" t="s">
        <v>291</v>
      </c>
      <c r="B6" s="115"/>
      <c r="C6" s="114"/>
      <c r="D6" s="114"/>
      <c r="E6" s="114"/>
      <c r="F6" s="114"/>
      <c r="G6" s="11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17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6.57421875" style="0" customWidth="1"/>
    <col min="3" max="3" width="26.7109375" style="0" customWidth="1"/>
    <col min="4" max="4" width="31.00390625" style="0" customWidth="1"/>
    <col min="5" max="5" width="19.00390625" style="0" customWidth="1"/>
    <col min="6" max="6" width="30.8515625" style="0" customWidth="1"/>
    <col min="7" max="7" width="18.00390625" style="0" customWidth="1"/>
    <col min="8" max="8" width="30.7109375" style="0" customWidth="1"/>
    <col min="9" max="9" width="16.7109375" style="0" customWidth="1"/>
    <col min="10" max="10" width="18.28125" style="0" customWidth="1"/>
  </cols>
  <sheetData>
    <row r="1" spans="7:9" ht="18.75">
      <c r="G1" s="182" t="s">
        <v>286</v>
      </c>
      <c r="H1" s="190"/>
      <c r="I1" s="190"/>
    </row>
    <row r="2" spans="2:3" ht="19.5" thickBot="1">
      <c r="B2" s="278" t="s">
        <v>295</v>
      </c>
      <c r="C2" s="279"/>
    </row>
    <row r="3" spans="1:10" ht="30" customHeight="1" thickBot="1">
      <c r="A3" s="105"/>
      <c r="B3" s="364" t="s">
        <v>119</v>
      </c>
      <c r="C3" s="364" t="s">
        <v>292</v>
      </c>
      <c r="D3" s="361" t="s">
        <v>265</v>
      </c>
      <c r="E3" s="363"/>
      <c r="F3" s="375" t="s">
        <v>331</v>
      </c>
      <c r="G3" s="377"/>
      <c r="H3" s="375" t="s">
        <v>332</v>
      </c>
      <c r="I3" s="377"/>
      <c r="J3" s="357" t="s">
        <v>308</v>
      </c>
    </row>
    <row r="4" spans="2:10" ht="18.75" customHeight="1" thickBot="1">
      <c r="B4" s="391"/>
      <c r="C4" s="365"/>
      <c r="D4" s="223" t="s">
        <v>297</v>
      </c>
      <c r="E4" s="72" t="s">
        <v>298</v>
      </c>
      <c r="F4" s="223" t="s">
        <v>297</v>
      </c>
      <c r="G4" s="72" t="s">
        <v>298</v>
      </c>
      <c r="H4" s="223" t="s">
        <v>297</v>
      </c>
      <c r="I4" s="72" t="s">
        <v>298</v>
      </c>
      <c r="J4" s="357"/>
    </row>
    <row r="5" spans="2:9" ht="19.5" thickBot="1">
      <c r="B5" s="110">
        <v>1</v>
      </c>
      <c r="C5" s="72">
        <v>2</v>
      </c>
      <c r="D5" s="72">
        <v>3</v>
      </c>
      <c r="E5" s="72">
        <v>4</v>
      </c>
      <c r="F5" s="72">
        <v>5</v>
      </c>
      <c r="G5" s="325">
        <v>6</v>
      </c>
      <c r="H5" s="325">
        <v>7</v>
      </c>
      <c r="I5" s="325">
        <v>8</v>
      </c>
    </row>
    <row r="6" spans="2:9" ht="19.5" thickBot="1">
      <c r="B6" s="120" t="s">
        <v>23</v>
      </c>
      <c r="C6" s="160" t="s">
        <v>294</v>
      </c>
      <c r="D6" s="241"/>
      <c r="E6" s="273" t="e">
        <f>D6/D12*100</f>
        <v>#DIV/0!</v>
      </c>
      <c r="F6" s="241"/>
      <c r="G6" s="299" t="e">
        <f>F6/F12*100</f>
        <v>#DIV/0!</v>
      </c>
      <c r="H6" s="274"/>
      <c r="I6" s="299" t="e">
        <f>H6/H12*100</f>
        <v>#DIV/0!</v>
      </c>
    </row>
    <row r="7" spans="2:9" ht="19.5" thickBot="1">
      <c r="B7" s="120" t="s">
        <v>27</v>
      </c>
      <c r="C7" s="160" t="s">
        <v>293</v>
      </c>
      <c r="D7" s="241"/>
      <c r="E7" s="273">
        <f>IF(D7=0,0,(D7/D12*100))</f>
        <v>0</v>
      </c>
      <c r="F7" s="241"/>
      <c r="G7" s="299">
        <f>IF(F7=0,0,F7/F12*100)</f>
        <v>0</v>
      </c>
      <c r="H7" s="274"/>
      <c r="I7" s="299">
        <f>IF(H7=0,0,H7/H12*100)</f>
        <v>0</v>
      </c>
    </row>
    <row r="8" spans="2:9" ht="19.5" thickBot="1">
      <c r="B8" s="120" t="s">
        <v>28</v>
      </c>
      <c r="C8" s="160"/>
      <c r="D8" s="241"/>
      <c r="E8" s="273">
        <f>IF(D8=0,0,(D8/D12*100))</f>
        <v>0</v>
      </c>
      <c r="F8" s="241"/>
      <c r="G8" s="299">
        <f>IF(F8=0,0,F8/F12*100)</f>
        <v>0</v>
      </c>
      <c r="H8" s="274"/>
      <c r="I8" s="299">
        <f>IF(H8=0,0,H8/H12*100)</f>
        <v>0</v>
      </c>
    </row>
    <row r="9" spans="2:9" ht="19.5" thickBot="1">
      <c r="B9" s="120" t="s">
        <v>31</v>
      </c>
      <c r="C9" s="160"/>
      <c r="D9" s="241"/>
      <c r="E9" s="273">
        <f>IF(D9=0,0,(D9/D12*100))</f>
        <v>0</v>
      </c>
      <c r="F9" s="241"/>
      <c r="G9" s="299">
        <f>IF(F9=0,0,F9/F12*100)</f>
        <v>0</v>
      </c>
      <c r="H9" s="274"/>
      <c r="I9" s="299">
        <f>IF(H9=0,0,H9/H12*100)</f>
        <v>0</v>
      </c>
    </row>
    <row r="10" spans="2:9" ht="19.5" thickBot="1">
      <c r="B10" s="120" t="s">
        <v>210</v>
      </c>
      <c r="C10" s="160"/>
      <c r="D10" s="241"/>
      <c r="E10" s="273">
        <f>IF(D10=0,0,(D10/D12*100))</f>
        <v>0</v>
      </c>
      <c r="F10" s="241"/>
      <c r="G10" s="299">
        <f>IF(F10=0,0,F10/F12*100)</f>
        <v>0</v>
      </c>
      <c r="H10" s="274"/>
      <c r="I10" s="299">
        <f>IF(H10=0,0,H10/H12*100)</f>
        <v>0</v>
      </c>
    </row>
    <row r="11" spans="2:9" ht="19.5" thickBot="1">
      <c r="B11" s="193"/>
      <c r="C11" s="160"/>
      <c r="D11" s="241"/>
      <c r="E11" s="273">
        <f>IF(D11=0,0,(D11/D12*100))</f>
        <v>0</v>
      </c>
      <c r="F11" s="241"/>
      <c r="G11" s="299">
        <f>IF(F11=0,0,F11/F12*100)</f>
        <v>0</v>
      </c>
      <c r="H11" s="274"/>
      <c r="I11" s="299">
        <f>IF(H11=0,0,H11/H12*100)</f>
        <v>0</v>
      </c>
    </row>
    <row r="12" spans="1:9" ht="19.5" thickBot="1">
      <c r="A12" s="105"/>
      <c r="B12" s="194"/>
      <c r="C12" s="75" t="s">
        <v>208</v>
      </c>
      <c r="D12" s="240">
        <f aca="true" t="shared" si="0" ref="D12:I12">SUM(D6:D11)</f>
        <v>0</v>
      </c>
      <c r="E12" s="273" t="e">
        <f t="shared" si="0"/>
        <v>#DIV/0!</v>
      </c>
      <c r="F12" s="240">
        <f t="shared" si="0"/>
        <v>0</v>
      </c>
      <c r="G12" s="196" t="e">
        <f t="shared" si="0"/>
        <v>#DIV/0!</v>
      </c>
      <c r="H12" s="240">
        <f t="shared" si="0"/>
        <v>0</v>
      </c>
      <c r="I12" s="196" t="e">
        <f t="shared" si="0"/>
        <v>#DIV/0!</v>
      </c>
    </row>
    <row r="14" spans="2:13" ht="18.75">
      <c r="B14" s="114" t="s">
        <v>299</v>
      </c>
      <c r="C14" s="114"/>
      <c r="D14" s="114"/>
      <c r="E14" s="114"/>
      <c r="F14" s="114"/>
      <c r="G14" s="114"/>
      <c r="H14" s="114"/>
      <c r="I14" s="80"/>
      <c r="J14" s="80"/>
      <c r="K14" s="80"/>
      <c r="L14" s="80"/>
      <c r="M14" s="80"/>
    </row>
    <row r="15" spans="2:13" ht="18.75">
      <c r="B15" s="114" t="s">
        <v>300</v>
      </c>
      <c r="C15" s="114"/>
      <c r="D15" s="114"/>
      <c r="E15" s="114"/>
      <c r="F15" s="114"/>
      <c r="G15" s="114"/>
      <c r="H15" s="114"/>
      <c r="I15" s="80"/>
      <c r="J15" s="80"/>
      <c r="K15" s="80"/>
      <c r="L15" s="80"/>
      <c r="M15" s="80"/>
    </row>
    <row r="17" spans="2:8" ht="18.75">
      <c r="B17" s="121" t="s">
        <v>291</v>
      </c>
      <c r="C17" s="115"/>
      <c r="D17" s="114"/>
      <c r="E17" s="114"/>
      <c r="F17" s="114"/>
      <c r="G17" s="114"/>
      <c r="H17" s="114"/>
    </row>
  </sheetData>
  <sheetProtection/>
  <mergeCells count="6">
    <mergeCell ref="D3:E3"/>
    <mergeCell ref="F3:G3"/>
    <mergeCell ref="H3:I3"/>
    <mergeCell ref="J3:J4"/>
    <mergeCell ref="C3:C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40"/>
  <sheetViews>
    <sheetView tabSelected="1" zoomScalePageLayoutView="0" workbookViewId="0" topLeftCell="A22">
      <selection activeCell="F37" sqref="F37"/>
    </sheetView>
  </sheetViews>
  <sheetFormatPr defaultColWidth="9.140625" defaultRowHeight="15"/>
  <cols>
    <col min="1" max="1" width="8.7109375" style="0" customWidth="1"/>
    <col min="2" max="2" width="86.00390625" style="0" customWidth="1"/>
    <col min="3" max="3" width="13.28125" style="0" customWidth="1"/>
    <col min="4" max="4" width="13.421875" style="0" customWidth="1"/>
    <col min="5" max="5" width="24.57421875" style="0" customWidth="1"/>
    <col min="6" max="6" width="14.8515625" style="0" customWidth="1"/>
  </cols>
  <sheetData>
    <row r="1" spans="2:6" ht="18.75">
      <c r="B1" s="404" t="s">
        <v>290</v>
      </c>
      <c r="C1" s="404"/>
      <c r="D1" s="404"/>
      <c r="E1" s="404"/>
      <c r="F1" s="404"/>
    </row>
    <row r="2" spans="1:6" ht="18.75" customHeight="1">
      <c r="A2" s="394" t="s">
        <v>256</v>
      </c>
      <c r="B2" s="394"/>
      <c r="C2" s="394"/>
      <c r="D2" s="394"/>
      <c r="E2" s="394"/>
      <c r="F2" s="394"/>
    </row>
    <row r="3" spans="2:6" ht="15.75">
      <c r="B3" s="15"/>
      <c r="C3" s="15"/>
      <c r="D3" s="15"/>
      <c r="E3" s="15"/>
      <c r="F3" s="15"/>
    </row>
    <row r="4" spans="2:6" ht="15.75" thickBot="1">
      <c r="B4" s="406" t="s">
        <v>330</v>
      </c>
      <c r="C4" s="406"/>
      <c r="D4" s="406"/>
      <c r="E4" s="406"/>
      <c r="F4" s="406"/>
    </row>
    <row r="5" spans="1:6" ht="15" customHeight="1">
      <c r="A5" s="395" t="s">
        <v>103</v>
      </c>
      <c r="B5" s="395" t="s">
        <v>104</v>
      </c>
      <c r="C5" s="395" t="s">
        <v>105</v>
      </c>
      <c r="D5" s="407" t="s">
        <v>265</v>
      </c>
      <c r="E5" s="407" t="s">
        <v>333</v>
      </c>
      <c r="F5" s="410" t="s">
        <v>332</v>
      </c>
    </row>
    <row r="6" spans="1:6" ht="15" customHeight="1">
      <c r="A6" s="396"/>
      <c r="B6" s="396"/>
      <c r="C6" s="396"/>
      <c r="D6" s="408"/>
      <c r="E6" s="408"/>
      <c r="F6" s="411"/>
    </row>
    <row r="7" spans="1:6" ht="43.5" customHeight="1" thickBot="1">
      <c r="A7" s="397"/>
      <c r="B7" s="397"/>
      <c r="C7" s="397"/>
      <c r="D7" s="409"/>
      <c r="E7" s="409"/>
      <c r="F7" s="412"/>
    </row>
    <row r="8" spans="1:6" ht="19.5" thickBot="1">
      <c r="A8" s="17" t="s">
        <v>23</v>
      </c>
      <c r="B8" s="18" t="s">
        <v>56</v>
      </c>
      <c r="C8" s="19"/>
      <c r="D8" s="52"/>
      <c r="E8" s="53"/>
      <c r="F8" s="53"/>
    </row>
    <row r="9" spans="1:6" ht="18.75">
      <c r="A9" s="20" t="s">
        <v>24</v>
      </c>
      <c r="B9" s="21" t="s">
        <v>57</v>
      </c>
      <c r="C9" s="22" t="s">
        <v>58</v>
      </c>
      <c r="D9" s="205">
        <f>'стр.1.1-1.3'!E10/1000</f>
        <v>0</v>
      </c>
      <c r="E9" s="205">
        <f>'стр.1.1-1.3'!F10/1000</f>
        <v>0</v>
      </c>
      <c r="F9" s="205">
        <f>'стр.1.1-1.3'!G10/1000</f>
        <v>0</v>
      </c>
    </row>
    <row r="10" spans="1:6" ht="18.75">
      <c r="A10" s="23" t="s">
        <v>25</v>
      </c>
      <c r="B10" s="24" t="s">
        <v>59</v>
      </c>
      <c r="C10" s="25" t="s">
        <v>29</v>
      </c>
      <c r="D10" s="210">
        <f>'стр.1.1-1.3'!E20</f>
        <v>0</v>
      </c>
      <c r="E10" s="212">
        <f>'стр.1.1-1.3'!F20</f>
        <v>0</v>
      </c>
      <c r="F10" s="212">
        <f>'стр.1.1-1.3'!G20</f>
        <v>0</v>
      </c>
    </row>
    <row r="11" spans="1:6" ht="19.5" thickBot="1">
      <c r="A11" s="26" t="s">
        <v>26</v>
      </c>
      <c r="B11" s="27" t="s">
        <v>60</v>
      </c>
      <c r="C11" s="28" t="s">
        <v>30</v>
      </c>
      <c r="D11" s="174" t="e">
        <f>'стр.1.1-1.3'!E28</f>
        <v>#DIV/0!</v>
      </c>
      <c r="E11" s="174" t="e">
        <f>'стр.1.1-1.3'!F28</f>
        <v>#DIV/0!</v>
      </c>
      <c r="F11" s="174" t="e">
        <f>'стр.1.1-1.3'!G28</f>
        <v>#DIV/0!</v>
      </c>
    </row>
    <row r="12" spans="1:6" ht="19.5" thickBot="1">
      <c r="A12" s="18" t="s">
        <v>27</v>
      </c>
      <c r="B12" s="29" t="s">
        <v>61</v>
      </c>
      <c r="C12" s="30"/>
      <c r="D12" s="48"/>
      <c r="E12" s="53"/>
      <c r="F12" s="53"/>
    </row>
    <row r="13" spans="1:6" ht="18.75">
      <c r="A13" s="31" t="s">
        <v>62</v>
      </c>
      <c r="B13" s="21" t="s">
        <v>63</v>
      </c>
      <c r="C13" s="32" t="s">
        <v>64</v>
      </c>
      <c r="D13" s="206">
        <f>'стр.2.1'!H15</f>
        <v>0</v>
      </c>
      <c r="E13" s="207">
        <f>'стр.2.1'!H21</f>
        <v>0</v>
      </c>
      <c r="F13" s="207">
        <f>'стр.2.1'!H27</f>
        <v>0</v>
      </c>
    </row>
    <row r="14" spans="1:6" ht="18.75">
      <c r="A14" s="23" t="s">
        <v>65</v>
      </c>
      <c r="B14" s="24" t="s">
        <v>115</v>
      </c>
      <c r="C14" s="25" t="s">
        <v>64</v>
      </c>
      <c r="D14" s="208">
        <f>'стр.2.2'!G22</f>
        <v>0</v>
      </c>
      <c r="E14" s="207">
        <f>'стр.2.2'!G28</f>
        <v>0</v>
      </c>
      <c r="F14" s="209">
        <f>'стр.2.2'!G34</f>
        <v>0</v>
      </c>
    </row>
    <row r="15" spans="1:6" ht="18.75">
      <c r="A15" s="23" t="s">
        <v>66</v>
      </c>
      <c r="B15" s="24" t="s">
        <v>67</v>
      </c>
      <c r="C15" s="25" t="s">
        <v>64</v>
      </c>
      <c r="D15" s="208">
        <f>'стр.2.3-2.4'!F16</f>
        <v>0</v>
      </c>
      <c r="E15" s="207">
        <f>'стр.2.3-2.4'!F20</f>
        <v>0</v>
      </c>
      <c r="F15" s="209">
        <f>'стр.2.3-2.4'!F24</f>
        <v>0</v>
      </c>
    </row>
    <row r="16" spans="1:6" ht="18.75">
      <c r="A16" s="23" t="s">
        <v>68</v>
      </c>
      <c r="B16" s="33" t="s">
        <v>69</v>
      </c>
      <c r="C16" s="25" t="s">
        <v>29</v>
      </c>
      <c r="D16" s="172">
        <f>'стр.2.3-2.4'!D16</f>
        <v>0</v>
      </c>
      <c r="E16" s="175">
        <f>'стр.2.3-2.4'!D20</f>
        <v>0</v>
      </c>
      <c r="F16" s="173">
        <f>'стр.2.3-2.4'!D24</f>
        <v>0</v>
      </c>
    </row>
    <row r="17" spans="1:6" ht="18.75">
      <c r="A17" s="23" t="s">
        <v>70</v>
      </c>
      <c r="B17" s="33" t="s">
        <v>71</v>
      </c>
      <c r="C17" s="25" t="s">
        <v>72</v>
      </c>
      <c r="D17" s="210" t="e">
        <f>D15/D16/12*1000</f>
        <v>#DIV/0!</v>
      </c>
      <c r="E17" s="211" t="e">
        <f>E15/E16/12*1000</f>
        <v>#DIV/0!</v>
      </c>
      <c r="F17" s="212" t="e">
        <f>F15/F16/12*1000</f>
        <v>#DIV/0!</v>
      </c>
    </row>
    <row r="18" spans="1:6" ht="18.75">
      <c r="A18" s="23" t="s">
        <v>73</v>
      </c>
      <c r="B18" s="24" t="s">
        <v>74</v>
      </c>
      <c r="C18" s="25" t="s">
        <v>64</v>
      </c>
      <c r="D18" s="208">
        <f>'стр.2.3-2.4'!H16</f>
        <v>0</v>
      </c>
      <c r="E18" s="207">
        <f>'стр.2.3-2.4'!H20</f>
        <v>0</v>
      </c>
      <c r="F18" s="209">
        <f>'стр.2.3-2.4'!H24</f>
        <v>0</v>
      </c>
    </row>
    <row r="19" spans="1:6" ht="18.75">
      <c r="A19" s="23" t="s">
        <v>75</v>
      </c>
      <c r="B19" s="34" t="s">
        <v>76</v>
      </c>
      <c r="C19" s="25" t="s">
        <v>64</v>
      </c>
      <c r="D19" s="208">
        <f>D20+D21+D22</f>
        <v>0</v>
      </c>
      <c r="E19" s="207">
        <f>E20+E21+E22</f>
        <v>0</v>
      </c>
      <c r="F19" s="209">
        <f>F20+F21+F22</f>
        <v>0</v>
      </c>
    </row>
    <row r="20" spans="1:6" ht="18.75">
      <c r="A20" s="23" t="s">
        <v>77</v>
      </c>
      <c r="B20" s="35" t="s">
        <v>78</v>
      </c>
      <c r="C20" s="25" t="s">
        <v>64</v>
      </c>
      <c r="D20" s="208">
        <f>'стр.2.5'!R17</f>
        <v>0</v>
      </c>
      <c r="E20" s="207">
        <f>'стр.2.5'!R23</f>
        <v>0</v>
      </c>
      <c r="F20" s="209">
        <f>'стр.2.5'!R29</f>
        <v>0</v>
      </c>
    </row>
    <row r="21" spans="1:6" ht="18.75">
      <c r="A21" s="23" t="s">
        <v>79</v>
      </c>
      <c r="B21" s="35" t="s">
        <v>80</v>
      </c>
      <c r="C21" s="25" t="s">
        <v>64</v>
      </c>
      <c r="D21" s="208">
        <f>'стр.2.5'!I39</f>
        <v>0</v>
      </c>
      <c r="E21" s="207">
        <f>'стр.2.5'!I45</f>
        <v>0</v>
      </c>
      <c r="F21" s="209">
        <f>'стр.2.5'!I51</f>
        <v>0</v>
      </c>
    </row>
    <row r="22" spans="1:6" ht="18.75">
      <c r="A22" s="23" t="s">
        <v>81</v>
      </c>
      <c r="B22" s="35" t="s">
        <v>82</v>
      </c>
      <c r="C22" s="36" t="s">
        <v>64</v>
      </c>
      <c r="D22" s="208">
        <f>'стр.2.5'!F63</f>
        <v>0</v>
      </c>
      <c r="E22" s="207">
        <f>'стр.2.5'!F69</f>
        <v>0</v>
      </c>
      <c r="F22" s="209">
        <f>'стр.2.5'!F75</f>
        <v>0</v>
      </c>
    </row>
    <row r="23" spans="1:6" ht="18.75">
      <c r="A23" s="23" t="s">
        <v>83</v>
      </c>
      <c r="B23" s="34" t="s">
        <v>84</v>
      </c>
      <c r="C23" s="25" t="s">
        <v>64</v>
      </c>
      <c r="D23" s="208">
        <f>'стр.2.6'!G15</f>
        <v>0</v>
      </c>
      <c r="E23" s="207">
        <f>'стр.2.6'!G21</f>
        <v>0</v>
      </c>
      <c r="F23" s="209">
        <f>'стр.2.6'!G27</f>
        <v>0</v>
      </c>
    </row>
    <row r="24" spans="1:6" ht="18.75">
      <c r="A24" s="23" t="s">
        <v>85</v>
      </c>
      <c r="B24" s="34" t="s">
        <v>86</v>
      </c>
      <c r="C24" s="25" t="s">
        <v>64</v>
      </c>
      <c r="D24" s="208">
        <f>'стр.2.7'!H27</f>
        <v>0</v>
      </c>
      <c r="E24" s="207">
        <f>'стр.2.7'!H39</f>
        <v>0</v>
      </c>
      <c r="F24" s="209">
        <f>'стр.2.7'!H51</f>
        <v>0</v>
      </c>
    </row>
    <row r="25" spans="1:6" ht="18.75">
      <c r="A25" s="23" t="s">
        <v>87</v>
      </c>
      <c r="B25" s="34" t="s">
        <v>88</v>
      </c>
      <c r="C25" s="25" t="s">
        <v>64</v>
      </c>
      <c r="D25" s="208">
        <f>'стр.2.8'!E12</f>
        <v>0</v>
      </c>
      <c r="E25" s="207">
        <f>'стр.2.8'!F12</f>
        <v>0</v>
      </c>
      <c r="F25" s="209">
        <f>'стр.2.8'!G12</f>
        <v>0</v>
      </c>
    </row>
    <row r="26" spans="1:6" ht="18.75">
      <c r="A26" s="23" t="s">
        <v>89</v>
      </c>
      <c r="B26" s="34" t="s">
        <v>116</v>
      </c>
      <c r="C26" s="25" t="s">
        <v>64</v>
      </c>
      <c r="D26" s="208">
        <f>'стр.2.9'!E30</f>
        <v>0</v>
      </c>
      <c r="E26" s="207">
        <f>'стр.2.9'!F30</f>
        <v>0</v>
      </c>
      <c r="F26" s="213">
        <f>'стр.2.9'!G30</f>
        <v>0</v>
      </c>
    </row>
    <row r="27" spans="1:6" ht="18.75">
      <c r="A27" s="23" t="s">
        <v>90</v>
      </c>
      <c r="B27" s="34" t="s">
        <v>118</v>
      </c>
      <c r="C27" s="25" t="s">
        <v>64</v>
      </c>
      <c r="D27" s="208">
        <f>'стр.2.10'!E19</f>
        <v>0</v>
      </c>
      <c r="E27" s="207">
        <f>'стр.2.10'!F19</f>
        <v>0</v>
      </c>
      <c r="F27" s="209">
        <f>'стр.2.10'!G19</f>
        <v>0</v>
      </c>
    </row>
    <row r="28" spans="1:6" ht="18.75">
      <c r="A28" s="23" t="s">
        <v>91</v>
      </c>
      <c r="B28" s="37" t="s">
        <v>92</v>
      </c>
      <c r="C28" s="25" t="s">
        <v>64</v>
      </c>
      <c r="D28" s="208">
        <f>'стр.2.12'!E11</f>
        <v>0</v>
      </c>
      <c r="E28" s="207">
        <f>'стр.2.12'!F11</f>
        <v>0</v>
      </c>
      <c r="F28" s="209">
        <f>'стр.2.12'!G11</f>
        <v>0</v>
      </c>
    </row>
    <row r="29" spans="1:6" ht="18.75">
      <c r="A29" s="400" t="s">
        <v>93</v>
      </c>
      <c r="B29" s="38" t="s">
        <v>94</v>
      </c>
      <c r="C29" s="413" t="s">
        <v>64</v>
      </c>
      <c r="D29" s="402">
        <f>'стр.2.12'!E11</f>
        <v>0</v>
      </c>
      <c r="E29" s="402">
        <f>'стр.2.12'!F11</f>
        <v>0</v>
      </c>
      <c r="F29" s="402">
        <f>'стр.2.12'!G11</f>
        <v>0</v>
      </c>
    </row>
    <row r="30" spans="1:6" ht="15.75" customHeight="1">
      <c r="A30" s="401"/>
      <c r="B30" s="39" t="s">
        <v>95</v>
      </c>
      <c r="C30" s="414"/>
      <c r="D30" s="403"/>
      <c r="E30" s="403"/>
      <c r="F30" s="403"/>
    </row>
    <row r="31" spans="1:6" ht="19.5" thickBot="1">
      <c r="A31" s="40" t="s">
        <v>96</v>
      </c>
      <c r="B31" s="41" t="s">
        <v>97</v>
      </c>
      <c r="C31" s="42" t="s">
        <v>64</v>
      </c>
      <c r="D31" s="214">
        <f>'стр.2.13'!E19</f>
        <v>0</v>
      </c>
      <c r="E31" s="215">
        <f>'стр.2.13'!F19</f>
        <v>0</v>
      </c>
      <c r="F31" s="215">
        <f>'стр.2.13'!G19</f>
        <v>0</v>
      </c>
    </row>
    <row r="32" spans="1:6" ht="17.25" customHeight="1" thickBot="1">
      <c r="A32" s="43" t="s">
        <v>28</v>
      </c>
      <c r="B32" s="44" t="s">
        <v>98</v>
      </c>
      <c r="C32" s="45" t="s">
        <v>64</v>
      </c>
      <c r="D32" s="216">
        <f>D13+D14+D15+D18+D19+D23+D24+D25+D26+D27+D28+D29</f>
        <v>0</v>
      </c>
      <c r="E32" s="216">
        <f>E13+E14+E15+E18+E19+E23+E24+E25+E26+E27+E28+E29</f>
        <v>0</v>
      </c>
      <c r="F32" s="216">
        <f>F13+F14+F15+F18+F19+F23+F24+F25+F26+F27+F28+F29</f>
        <v>0</v>
      </c>
    </row>
    <row r="33" spans="1:6" ht="19.5" thickBot="1">
      <c r="A33" s="46" t="s">
        <v>99</v>
      </c>
      <c r="B33" s="47" t="s">
        <v>117</v>
      </c>
      <c r="C33" s="48" t="s">
        <v>100</v>
      </c>
      <c r="D33" s="217">
        <f>D32*0.02</f>
        <v>0</v>
      </c>
      <c r="E33" s="217">
        <f>E32*0.02</f>
        <v>0</v>
      </c>
      <c r="F33" s="217">
        <f>F32*0.02</f>
        <v>0</v>
      </c>
    </row>
    <row r="34" spans="1:6" ht="17.25" customHeight="1" thickBot="1">
      <c r="A34" s="43" t="s">
        <v>101</v>
      </c>
      <c r="B34" s="44" t="s">
        <v>102</v>
      </c>
      <c r="C34" s="45" t="s">
        <v>100</v>
      </c>
      <c r="D34" s="218">
        <f>D32+D33</f>
        <v>0</v>
      </c>
      <c r="E34" s="218">
        <f>E32+E33</f>
        <v>0</v>
      </c>
      <c r="F34" s="218">
        <f>F32+F33</f>
        <v>0</v>
      </c>
    </row>
    <row r="35" spans="1:6" ht="17.25" customHeight="1" thickBot="1">
      <c r="A35" s="49" t="s">
        <v>31</v>
      </c>
      <c r="B35" s="50" t="s">
        <v>262</v>
      </c>
      <c r="C35" s="51" t="s">
        <v>114</v>
      </c>
      <c r="D35" s="219" t="e">
        <f>D34/D10*1000</f>
        <v>#DIV/0!</v>
      </c>
      <c r="E35" s="219" t="e">
        <f>E34/E10*1000</f>
        <v>#DIV/0!</v>
      </c>
      <c r="F35" s="219" t="e">
        <f>F34/F10*1000</f>
        <v>#DIV/0!</v>
      </c>
    </row>
    <row r="36" spans="1:6" ht="19.5" thickBot="1">
      <c r="A36" s="398" t="s">
        <v>112</v>
      </c>
      <c r="B36" s="399"/>
      <c r="C36" s="63" t="s">
        <v>108</v>
      </c>
      <c r="D36" s="220"/>
      <c r="E36" s="221">
        <v>2643</v>
      </c>
      <c r="F36" s="222">
        <v>2689</v>
      </c>
    </row>
    <row r="37" spans="1:6" ht="15.75">
      <c r="A37" s="55"/>
      <c r="B37" s="56" t="s">
        <v>109</v>
      </c>
      <c r="C37" s="57"/>
      <c r="D37" s="56"/>
      <c r="E37" s="58"/>
      <c r="F37" s="59"/>
    </row>
    <row r="38" spans="1:6" ht="15.75">
      <c r="A38" s="60"/>
      <c r="B38" s="415" t="s">
        <v>110</v>
      </c>
      <c r="C38" s="415"/>
      <c r="D38" s="61"/>
      <c r="E38" s="59"/>
      <c r="F38" s="59"/>
    </row>
    <row r="39" spans="1:6" ht="15.75">
      <c r="A39" s="60"/>
      <c r="B39" s="405"/>
      <c r="C39" s="405"/>
      <c r="D39" s="62"/>
      <c r="E39" s="59"/>
      <c r="F39" s="59"/>
    </row>
    <row r="40" spans="1:6" ht="15.75">
      <c r="A40" s="60"/>
      <c r="B40" s="62" t="s">
        <v>111</v>
      </c>
      <c r="C40" s="62"/>
      <c r="D40" s="62"/>
      <c r="E40" s="59"/>
      <c r="F40" s="59"/>
    </row>
  </sheetData>
  <sheetProtection/>
  <mergeCells count="17">
    <mergeCell ref="B1:F1"/>
    <mergeCell ref="B39:C39"/>
    <mergeCell ref="B4:F4"/>
    <mergeCell ref="D5:D7"/>
    <mergeCell ref="E5:E7"/>
    <mergeCell ref="F5:F7"/>
    <mergeCell ref="C29:C30"/>
    <mergeCell ref="D29:D30"/>
    <mergeCell ref="E29:E30"/>
    <mergeCell ref="B38:C38"/>
    <mergeCell ref="A2:F2"/>
    <mergeCell ref="A5:A7"/>
    <mergeCell ref="B5:B7"/>
    <mergeCell ref="C5:C7"/>
    <mergeCell ref="A36:B36"/>
    <mergeCell ref="A29:A30"/>
    <mergeCell ref="F29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8515625" style="0" customWidth="1"/>
    <col min="2" max="2" width="117.421875" style="0" customWidth="1"/>
    <col min="3" max="3" width="11.7109375" style="0" customWidth="1"/>
  </cols>
  <sheetData>
    <row r="1" spans="2:13" ht="18.75">
      <c r="B1" s="85" t="s">
        <v>240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ht="18.75">
      <c r="B2" s="85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8.75">
      <c r="A3" s="114" t="s">
        <v>23</v>
      </c>
      <c r="B3" s="275" t="s">
        <v>319</v>
      </c>
      <c r="C3" s="276"/>
      <c r="D3" s="276"/>
      <c r="E3" s="276"/>
      <c r="F3" s="276"/>
      <c r="G3" s="276"/>
      <c r="H3" s="276"/>
      <c r="I3" s="276"/>
      <c r="J3" s="276"/>
      <c r="K3" s="54"/>
      <c r="L3" s="54"/>
      <c r="M3" s="54"/>
    </row>
    <row r="4" spans="2:13" ht="1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22" ht="18.75">
      <c r="A5" s="114" t="s">
        <v>27</v>
      </c>
      <c r="B5" s="182" t="s">
        <v>318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P5" s="16"/>
      <c r="Q5" s="16"/>
      <c r="R5" s="16"/>
      <c r="S5" s="16"/>
      <c r="T5" s="16"/>
      <c r="U5" s="16"/>
      <c r="V5" s="16"/>
    </row>
    <row r="6" spans="1:22" ht="18.75">
      <c r="A6" s="114"/>
      <c r="B6" s="277" t="s">
        <v>326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P6" s="16"/>
      <c r="Q6" s="16"/>
      <c r="R6" s="16"/>
      <c r="S6" s="16"/>
      <c r="T6" s="16"/>
      <c r="U6" s="16"/>
      <c r="V6" s="16"/>
    </row>
    <row r="7" spans="1:14" ht="15.7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6" ht="18.75">
      <c r="A8" s="114" t="s">
        <v>28</v>
      </c>
      <c r="B8" s="114" t="s">
        <v>260</v>
      </c>
      <c r="C8" s="116" t="s">
        <v>263</v>
      </c>
      <c r="D8" s="195" t="s">
        <v>241</v>
      </c>
      <c r="E8" s="195" t="s">
        <v>242</v>
      </c>
      <c r="F8" s="195" t="s">
        <v>264</v>
      </c>
      <c r="G8" s="195" t="s">
        <v>243</v>
      </c>
      <c r="H8" s="195" t="s">
        <v>244</v>
      </c>
      <c r="I8" s="195" t="s">
        <v>245</v>
      </c>
      <c r="J8" s="195" t="s">
        <v>246</v>
      </c>
      <c r="K8" s="195" t="s">
        <v>247</v>
      </c>
      <c r="L8" s="195" t="s">
        <v>248</v>
      </c>
      <c r="M8" s="195" t="s">
        <v>249</v>
      </c>
      <c r="N8" s="195" t="s">
        <v>250</v>
      </c>
      <c r="O8" s="195" t="s">
        <v>251</v>
      </c>
      <c r="P8" s="195" t="s">
        <v>252</v>
      </c>
    </row>
    <row r="9" spans="1:16" ht="18.75">
      <c r="A9" s="114"/>
      <c r="B9" s="114" t="s">
        <v>289</v>
      </c>
      <c r="C9" s="183"/>
      <c r="D9" s="183"/>
      <c r="E9" s="183"/>
      <c r="F9" s="183"/>
      <c r="G9" s="183"/>
      <c r="H9" s="183"/>
      <c r="I9" s="116"/>
      <c r="J9" s="116"/>
      <c r="K9" s="116"/>
      <c r="L9" s="116"/>
      <c r="M9" s="116"/>
      <c r="N9" s="116"/>
      <c r="O9" s="116"/>
      <c r="P9" s="116"/>
    </row>
    <row r="10" spans="1:12" ht="18.75">
      <c r="A10" s="114"/>
      <c r="B10" s="294" t="s">
        <v>328</v>
      </c>
      <c r="C10" s="116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8.75">
      <c r="A11" s="114"/>
      <c r="B11" s="114" t="s">
        <v>329</v>
      </c>
      <c r="C11" s="116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8.75">
      <c r="A12" s="114"/>
      <c r="B12" s="121"/>
      <c r="C12" s="115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ht="18.75">
      <c r="A13" s="114" t="s">
        <v>31</v>
      </c>
      <c r="B13" s="122" t="s">
        <v>296</v>
      </c>
      <c r="C13" s="115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18.75">
      <c r="A14" s="114"/>
      <c r="B14" s="122"/>
      <c r="C14" s="115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8.75">
      <c r="A15" s="114" t="s">
        <v>210</v>
      </c>
      <c r="B15" s="114" t="s">
        <v>327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ht="18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2" ht="141" customHeight="1">
      <c r="A17" s="117" t="s">
        <v>211</v>
      </c>
      <c r="B17" s="118" t="s">
        <v>337</v>
      </c>
    </row>
    <row r="18" spans="1:2" ht="16.5" customHeight="1">
      <c r="A18" s="117"/>
      <c r="B18" s="118"/>
    </row>
    <row r="19" spans="1:2" ht="15" customHeight="1">
      <c r="A19" s="117"/>
      <c r="B19" s="118"/>
    </row>
    <row r="20" spans="1:3" ht="18.75">
      <c r="A20" s="114" t="s">
        <v>218</v>
      </c>
      <c r="B20" s="114" t="s">
        <v>253</v>
      </c>
      <c r="C20" s="113"/>
    </row>
    <row r="21" spans="2:3" ht="15.75">
      <c r="B21" s="119" t="s">
        <v>254</v>
      </c>
      <c r="C21" s="113"/>
    </row>
    <row r="22" spans="2:3" ht="15.75">
      <c r="B22" s="119" t="s">
        <v>335</v>
      </c>
      <c r="C22" s="113"/>
    </row>
    <row r="23" spans="2:3" ht="15.75">
      <c r="B23" s="119" t="s">
        <v>336</v>
      </c>
      <c r="C23" s="113"/>
    </row>
    <row r="24" spans="2:3" ht="15.75">
      <c r="B24" s="119"/>
      <c r="C24" s="113"/>
    </row>
    <row r="25" ht="15">
      <c r="C25" s="113"/>
    </row>
    <row r="26" ht="15">
      <c r="C26" s="113"/>
    </row>
    <row r="27" ht="15">
      <c r="C27" s="113"/>
    </row>
    <row r="28" ht="15">
      <c r="C28" s="113"/>
    </row>
    <row r="29" ht="15">
      <c r="C29" s="113"/>
    </row>
    <row r="30" ht="15">
      <c r="C30" s="1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E38"/>
  <sheetViews>
    <sheetView zoomScalePageLayoutView="0" workbookViewId="0" topLeftCell="A1">
      <selection activeCell="B27" sqref="B27:C27"/>
    </sheetView>
  </sheetViews>
  <sheetFormatPr defaultColWidth="9.140625" defaultRowHeight="15"/>
  <cols>
    <col min="1" max="1" width="36.140625" style="0" customWidth="1"/>
    <col min="2" max="2" width="13.00390625" style="0" customWidth="1"/>
    <col min="3" max="3" width="55.00390625" style="0" customWidth="1"/>
    <col min="4" max="4" width="21.28125" style="0" customWidth="1"/>
  </cols>
  <sheetData>
    <row r="1" spans="3:5" ht="18.75">
      <c r="C1" s="182" t="s">
        <v>286</v>
      </c>
      <c r="D1" s="204"/>
      <c r="E1" s="191"/>
    </row>
    <row r="2" spans="1:4" ht="15.75">
      <c r="A2" s="64"/>
      <c r="B2" s="64"/>
      <c r="C2" s="101" t="s">
        <v>32</v>
      </c>
      <c r="D2" s="77"/>
    </row>
    <row r="3" spans="1:4" ht="32.25" customHeight="1">
      <c r="A3" s="333" t="s">
        <v>255</v>
      </c>
      <c r="B3" s="334"/>
      <c r="C3" s="334"/>
      <c r="D3" s="64"/>
    </row>
    <row r="4" spans="1:4" ht="15.75">
      <c r="A4" s="198" t="s">
        <v>33</v>
      </c>
      <c r="B4" s="335" t="s">
        <v>34</v>
      </c>
      <c r="C4" s="335"/>
      <c r="D4" s="64"/>
    </row>
    <row r="5" spans="1:4" ht="15.75">
      <c r="A5" s="199"/>
      <c r="B5" s="65"/>
      <c r="C5" s="65"/>
      <c r="D5" s="64"/>
    </row>
    <row r="6" spans="1:4" ht="49.5" customHeight="1">
      <c r="A6" s="200" t="s">
        <v>35</v>
      </c>
      <c r="B6" s="336"/>
      <c r="C6" s="337"/>
      <c r="D6" s="64" t="s">
        <v>55</v>
      </c>
    </row>
    <row r="7" spans="1:4" ht="15.75">
      <c r="A7" s="201"/>
      <c r="B7" s="338"/>
      <c r="C7" s="338"/>
      <c r="D7" s="64"/>
    </row>
    <row r="8" spans="1:4" ht="47.25" customHeight="1">
      <c r="A8" s="202" t="s">
        <v>113</v>
      </c>
      <c r="B8" s="339"/>
      <c r="C8" s="340"/>
      <c r="D8" s="64"/>
    </row>
    <row r="9" spans="1:4" ht="16.5" customHeight="1">
      <c r="A9" s="202" t="s">
        <v>36</v>
      </c>
      <c r="B9" s="331"/>
      <c r="C9" s="332"/>
      <c r="D9" s="64"/>
    </row>
    <row r="10" spans="1:4" ht="21.75" customHeight="1">
      <c r="A10" s="202" t="s">
        <v>37</v>
      </c>
      <c r="B10" s="341"/>
      <c r="C10" s="342"/>
      <c r="D10" s="64"/>
    </row>
    <row r="11" spans="1:4" ht="15.75">
      <c r="A11" s="203"/>
      <c r="B11" s="343"/>
      <c r="C11" s="343"/>
      <c r="D11" s="64"/>
    </row>
    <row r="12" spans="1:4" ht="15.75">
      <c r="A12" s="202" t="s">
        <v>38</v>
      </c>
      <c r="B12" s="344"/>
      <c r="C12" s="345"/>
      <c r="D12" s="64"/>
    </row>
    <row r="13" spans="1:4" ht="15.75">
      <c r="A13" s="202" t="s">
        <v>39</v>
      </c>
      <c r="B13" s="344"/>
      <c r="C13" s="345"/>
      <c r="D13" s="64"/>
    </row>
    <row r="14" spans="1:4" ht="15.75">
      <c r="A14" s="66"/>
      <c r="B14" s="67"/>
      <c r="C14" s="68"/>
      <c r="D14" s="64"/>
    </row>
    <row r="15" spans="1:4" ht="15.75">
      <c r="A15" s="346" t="s">
        <v>40</v>
      </c>
      <c r="B15" s="347"/>
      <c r="C15" s="347"/>
      <c r="D15" s="64"/>
    </row>
    <row r="16" spans="1:4" ht="15.75">
      <c r="A16" s="197" t="s">
        <v>41</v>
      </c>
      <c r="B16" s="348"/>
      <c r="C16" s="349"/>
      <c r="D16" s="64" t="s">
        <v>55</v>
      </c>
    </row>
    <row r="17" spans="1:4" ht="15.75">
      <c r="A17" s="69" t="s">
        <v>42</v>
      </c>
      <c r="B17" s="348"/>
      <c r="C17" s="349"/>
      <c r="D17" s="64" t="s">
        <v>55</v>
      </c>
    </row>
    <row r="18" spans="1:4" ht="15.75">
      <c r="A18" s="69" t="s">
        <v>43</v>
      </c>
      <c r="B18" s="348"/>
      <c r="C18" s="349"/>
      <c r="D18" s="64" t="s">
        <v>55</v>
      </c>
    </row>
    <row r="19" spans="1:4" ht="15.75">
      <c r="A19" s="69" t="s">
        <v>44</v>
      </c>
      <c r="B19" s="348"/>
      <c r="C19" s="349"/>
      <c r="D19" s="64" t="s">
        <v>55</v>
      </c>
    </row>
    <row r="20" spans="1:4" ht="15.75">
      <c r="A20" s="66"/>
      <c r="B20" s="67"/>
      <c r="C20" s="68"/>
      <c r="D20" s="64"/>
    </row>
    <row r="21" spans="1:4" ht="15.75">
      <c r="A21" s="346" t="s">
        <v>45</v>
      </c>
      <c r="B21" s="347"/>
      <c r="C21" s="347"/>
      <c r="D21" s="64"/>
    </row>
    <row r="22" spans="1:4" ht="15.75">
      <c r="A22" s="69" t="s">
        <v>46</v>
      </c>
      <c r="B22" s="350"/>
      <c r="C22" s="350"/>
      <c r="D22" s="64"/>
    </row>
    <row r="23" spans="1:4" ht="15.75">
      <c r="A23" s="69" t="s">
        <v>47</v>
      </c>
      <c r="B23" s="350"/>
      <c r="C23" s="350"/>
      <c r="D23" s="64"/>
    </row>
    <row r="24" spans="1:4" ht="15.75">
      <c r="A24" s="70" t="s">
        <v>48</v>
      </c>
      <c r="B24" s="351"/>
      <c r="C24" s="352"/>
      <c r="D24" s="64"/>
    </row>
    <row r="25" spans="1:4" ht="15.75">
      <c r="A25" s="346" t="s">
        <v>49</v>
      </c>
      <c r="B25" s="353"/>
      <c r="C25" s="353"/>
      <c r="D25" s="64"/>
    </row>
    <row r="26" spans="1:4" ht="15.75">
      <c r="A26" s="69" t="s">
        <v>50</v>
      </c>
      <c r="B26" s="350"/>
      <c r="C26" s="350"/>
      <c r="D26" s="64"/>
    </row>
    <row r="27" spans="1:4" ht="15.75">
      <c r="A27" s="69" t="s">
        <v>51</v>
      </c>
      <c r="B27" s="350"/>
      <c r="C27" s="350"/>
      <c r="D27" s="64"/>
    </row>
    <row r="28" spans="1:4" ht="15.75">
      <c r="A28" s="70" t="s">
        <v>48</v>
      </c>
      <c r="B28" s="351"/>
      <c r="C28" s="352"/>
      <c r="D28" s="64"/>
    </row>
    <row r="29" spans="1:4" ht="15.75">
      <c r="A29" s="346" t="s">
        <v>52</v>
      </c>
      <c r="B29" s="353"/>
      <c r="C29" s="353"/>
      <c r="D29" s="64"/>
    </row>
    <row r="30" spans="1:4" ht="15.75">
      <c r="A30" s="69" t="s">
        <v>50</v>
      </c>
      <c r="B30" s="350"/>
      <c r="C30" s="350"/>
      <c r="D30" s="64"/>
    </row>
    <row r="31" spans="1:4" ht="15.75">
      <c r="A31" s="69" t="s">
        <v>51</v>
      </c>
      <c r="B31" s="350"/>
      <c r="C31" s="350"/>
      <c r="D31" s="64"/>
    </row>
    <row r="32" spans="1:4" ht="15.75">
      <c r="A32" s="70" t="s">
        <v>48</v>
      </c>
      <c r="B32" s="351"/>
      <c r="C32" s="352"/>
      <c r="D32" s="64"/>
    </row>
    <row r="33" spans="1:4" ht="15.75">
      <c r="A33" s="346" t="s">
        <v>53</v>
      </c>
      <c r="B33" s="353"/>
      <c r="C33" s="353"/>
      <c r="D33" s="64"/>
    </row>
    <row r="34" spans="1:4" ht="15.75">
      <c r="A34" s="70" t="s">
        <v>50</v>
      </c>
      <c r="B34" s="350"/>
      <c r="C34" s="350"/>
      <c r="D34" s="64"/>
    </row>
    <row r="35" spans="1:4" ht="15.75">
      <c r="A35" s="70" t="s">
        <v>54</v>
      </c>
      <c r="B35" s="350"/>
      <c r="C35" s="350"/>
      <c r="D35" s="64"/>
    </row>
    <row r="36" spans="1:4" ht="15.75">
      <c r="A36" s="70" t="s">
        <v>51</v>
      </c>
      <c r="B36" s="350"/>
      <c r="C36" s="350"/>
      <c r="D36" s="64"/>
    </row>
    <row r="37" spans="1:4" ht="15.75">
      <c r="A37" s="70" t="s">
        <v>48</v>
      </c>
      <c r="B37" s="350"/>
      <c r="C37" s="350"/>
      <c r="D37" s="64"/>
    </row>
    <row r="38" spans="1:4" ht="15.75">
      <c r="A38" s="54"/>
      <c r="B38" s="54"/>
      <c r="C38" s="54"/>
      <c r="D38" s="64"/>
    </row>
  </sheetData>
  <sheetProtection/>
  <mergeCells count="32">
    <mergeCell ref="B36:C36"/>
    <mergeCell ref="B37:C37"/>
    <mergeCell ref="B30:C30"/>
    <mergeCell ref="B31:C31"/>
    <mergeCell ref="B32:C32"/>
    <mergeCell ref="A33:C33"/>
    <mergeCell ref="B34:C34"/>
    <mergeCell ref="B35:C35"/>
    <mergeCell ref="B24:C24"/>
    <mergeCell ref="A25:C25"/>
    <mergeCell ref="B26:C26"/>
    <mergeCell ref="B27:C27"/>
    <mergeCell ref="B28:C28"/>
    <mergeCell ref="A29:C29"/>
    <mergeCell ref="B17:C17"/>
    <mergeCell ref="B18:C18"/>
    <mergeCell ref="B19:C19"/>
    <mergeCell ref="A21:C21"/>
    <mergeCell ref="B22:C22"/>
    <mergeCell ref="B23:C23"/>
    <mergeCell ref="B10:C10"/>
    <mergeCell ref="B11:C11"/>
    <mergeCell ref="B12:C12"/>
    <mergeCell ref="B13:C13"/>
    <mergeCell ref="A15:C15"/>
    <mergeCell ref="B16:C16"/>
    <mergeCell ref="B9:C9"/>
    <mergeCell ref="A3:C3"/>
    <mergeCell ref="B4:C4"/>
    <mergeCell ref="B6:C6"/>
    <mergeCell ref="B7:C7"/>
    <mergeCell ref="B8:C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22:C23 B34:C37 B30:C31 B26:C27 B8:B10 C8">
      <formula1>900</formula1>
    </dataValidation>
    <dataValidation type="textLength" operator="equal" allowBlank="1" showInputMessage="1" showErrorMessage="1" sqref="B20 B14">
      <formula1>9</formula1>
    </dataValidation>
    <dataValidation operator="equal" allowBlank="1" showInputMessage="1" showErrorMessage="1" sqref="B11:B13 C11"/>
  </dataValidation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30"/>
  <sheetViews>
    <sheetView zoomScalePageLayoutView="0" workbookViewId="0" topLeftCell="A19">
      <selection activeCell="H13" sqref="H13"/>
    </sheetView>
  </sheetViews>
  <sheetFormatPr defaultColWidth="9.140625" defaultRowHeight="15"/>
  <cols>
    <col min="3" max="3" width="32.421875" style="0" customWidth="1"/>
    <col min="4" max="4" width="13.00390625" style="0" customWidth="1"/>
    <col min="5" max="5" width="21.7109375" style="0" customWidth="1"/>
    <col min="6" max="6" width="20.28125" style="0" customWidth="1"/>
    <col min="7" max="7" width="22.421875" style="0" customWidth="1"/>
  </cols>
  <sheetData>
    <row r="1" spans="2:7" ht="18.75">
      <c r="B1" s="181"/>
      <c r="E1" s="182" t="s">
        <v>286</v>
      </c>
      <c r="F1" s="190"/>
      <c r="G1" s="190"/>
    </row>
    <row r="2" spans="1:3" ht="19.5" thickBot="1">
      <c r="A2" s="85" t="str">
        <f>'Перемещение '!A9</f>
        <v>1.1.</v>
      </c>
      <c r="B2" s="185" t="str">
        <f>'Перемещение '!B9</f>
        <v>Общий пробег</v>
      </c>
      <c r="C2" s="186"/>
    </row>
    <row r="3" spans="1:7" ht="37.5">
      <c r="A3" s="85"/>
      <c r="B3" s="146" t="s">
        <v>119</v>
      </c>
      <c r="C3" s="354" t="s">
        <v>120</v>
      </c>
      <c r="D3" s="135" t="s">
        <v>212</v>
      </c>
      <c r="E3" s="303" t="s">
        <v>184</v>
      </c>
      <c r="F3" s="304" t="s">
        <v>334</v>
      </c>
      <c r="G3" s="304" t="s">
        <v>195</v>
      </c>
    </row>
    <row r="4" spans="1:7" ht="19.5" thickBot="1">
      <c r="A4" s="85"/>
      <c r="B4" s="147"/>
      <c r="C4" s="356"/>
      <c r="D4" s="126"/>
      <c r="E4" s="184">
        <v>2020</v>
      </c>
      <c r="F4" s="187">
        <v>2021</v>
      </c>
      <c r="G4" s="187">
        <v>2022</v>
      </c>
    </row>
    <row r="5" spans="1:7" ht="19.5" thickBot="1">
      <c r="A5" s="114"/>
      <c r="B5" s="120">
        <v>1</v>
      </c>
      <c r="C5" s="144">
        <v>2</v>
      </c>
      <c r="D5" s="144">
        <v>3</v>
      </c>
      <c r="E5" s="110">
        <v>4</v>
      </c>
      <c r="F5" s="110">
        <v>5</v>
      </c>
      <c r="G5" s="110">
        <v>6</v>
      </c>
    </row>
    <row r="6" spans="1:7" ht="19.5" thickBot="1">
      <c r="A6" s="114"/>
      <c r="B6" s="120" t="s">
        <v>185</v>
      </c>
      <c r="C6" s="189"/>
      <c r="D6" s="188" t="s">
        <v>30</v>
      </c>
      <c r="E6" s="230"/>
      <c r="F6" s="230"/>
      <c r="G6" s="230"/>
    </row>
    <row r="7" spans="1:7" ht="19.5" thickBot="1">
      <c r="A7" s="114"/>
      <c r="B7" s="120" t="s">
        <v>187</v>
      </c>
      <c r="C7" s="189"/>
      <c r="D7" s="188" t="s">
        <v>30</v>
      </c>
      <c r="E7" s="230"/>
      <c r="F7" s="230"/>
      <c r="G7" s="230"/>
    </row>
    <row r="8" spans="1:7" ht="19.5" thickBot="1">
      <c r="A8" s="114"/>
      <c r="B8" s="120" t="s">
        <v>189</v>
      </c>
      <c r="C8" s="189"/>
      <c r="D8" s="188" t="s">
        <v>30</v>
      </c>
      <c r="E8" s="230"/>
      <c r="F8" s="230"/>
      <c r="G8" s="230"/>
    </row>
    <row r="9" spans="1:7" ht="19.5" customHeight="1" thickBot="1">
      <c r="A9" s="114"/>
      <c r="B9" s="120" t="s">
        <v>191</v>
      </c>
      <c r="C9" s="189"/>
      <c r="D9" s="188" t="s">
        <v>30</v>
      </c>
      <c r="E9" s="230"/>
      <c r="F9" s="230"/>
      <c r="G9" s="230"/>
    </row>
    <row r="10" spans="1:7" ht="19.5" thickBot="1">
      <c r="A10" s="114"/>
      <c r="B10" s="120"/>
      <c r="C10" s="73" t="s">
        <v>123</v>
      </c>
      <c r="D10" s="188" t="s">
        <v>30</v>
      </c>
      <c r="E10" s="231">
        <f>SUM(E6:E9)</f>
        <v>0</v>
      </c>
      <c r="F10" s="231">
        <f>SUM(F6:F9)</f>
        <v>0</v>
      </c>
      <c r="G10" s="231">
        <f>SUM(G6:G9)</f>
        <v>0</v>
      </c>
    </row>
    <row r="11" spans="1:8" ht="18.75">
      <c r="A11" s="102" t="str">
        <f>'Перемещение '!A10</f>
        <v>1.2.</v>
      </c>
      <c r="B11" s="85" t="str">
        <f>'Перемещение '!B10</f>
        <v>Количество задержанных ТС</v>
      </c>
      <c r="C11" s="85"/>
      <c r="D11" s="85"/>
      <c r="E11" s="54"/>
      <c r="F11" s="54"/>
      <c r="G11" s="54"/>
      <c r="H11" s="54"/>
    </row>
    <row r="12" spans="2:8" ht="15.75" thickBot="1">
      <c r="B12" s="54"/>
      <c r="C12" s="54"/>
      <c r="D12" s="54"/>
      <c r="E12" s="54"/>
      <c r="F12" s="54"/>
      <c r="G12" s="54"/>
      <c r="H12" s="54"/>
    </row>
    <row r="13" spans="2:8" ht="57" customHeight="1">
      <c r="B13" s="123" t="s">
        <v>119</v>
      </c>
      <c r="C13" s="354" t="s">
        <v>183</v>
      </c>
      <c r="D13" s="124" t="s">
        <v>212</v>
      </c>
      <c r="E13" s="305" t="s">
        <v>184</v>
      </c>
      <c r="F13" s="304" t="s">
        <v>334</v>
      </c>
      <c r="G13" s="304" t="s">
        <v>195</v>
      </c>
      <c r="H13" s="54"/>
    </row>
    <row r="14" spans="2:8" ht="19.5" customHeight="1" thickBot="1">
      <c r="B14" s="125"/>
      <c r="C14" s="355"/>
      <c r="D14" s="125"/>
      <c r="E14" s="127">
        <v>2020</v>
      </c>
      <c r="F14" s="128">
        <v>2021</v>
      </c>
      <c r="G14" s="128">
        <v>2022</v>
      </c>
      <c r="H14" s="54"/>
    </row>
    <row r="15" spans="2:8" ht="19.5" thickBot="1">
      <c r="B15" s="120">
        <v>1</v>
      </c>
      <c r="C15" s="72">
        <v>2</v>
      </c>
      <c r="D15" s="71">
        <v>3</v>
      </c>
      <c r="E15" s="71">
        <v>4</v>
      </c>
      <c r="F15" s="71">
        <v>5</v>
      </c>
      <c r="G15" s="71">
        <v>6</v>
      </c>
      <c r="H15" s="54"/>
    </row>
    <row r="16" spans="2:8" ht="19.5" thickBot="1">
      <c r="B16" s="120" t="s">
        <v>185</v>
      </c>
      <c r="C16" s="75" t="s">
        <v>186</v>
      </c>
      <c r="D16" s="72" t="s">
        <v>29</v>
      </c>
      <c r="E16" s="150"/>
      <c r="F16" s="150"/>
      <c r="G16" s="151"/>
      <c r="H16" s="54"/>
    </row>
    <row r="17" spans="2:8" ht="38.25" customHeight="1" thickBot="1">
      <c r="B17" s="120" t="s">
        <v>187</v>
      </c>
      <c r="C17" s="75" t="s">
        <v>188</v>
      </c>
      <c r="D17" s="72" t="s">
        <v>29</v>
      </c>
      <c r="E17" s="232"/>
      <c r="F17" s="232"/>
      <c r="G17" s="232"/>
      <c r="H17" s="54"/>
    </row>
    <row r="18" spans="2:8" ht="38.25" customHeight="1" thickBot="1">
      <c r="B18" s="120" t="s">
        <v>189</v>
      </c>
      <c r="C18" s="75" t="s">
        <v>190</v>
      </c>
      <c r="D18" s="72" t="s">
        <v>29</v>
      </c>
      <c r="E18" s="232"/>
      <c r="F18" s="232"/>
      <c r="G18" s="232"/>
      <c r="H18" s="54"/>
    </row>
    <row r="19" spans="2:8" ht="40.5" customHeight="1" thickBot="1">
      <c r="B19" s="120" t="s">
        <v>191</v>
      </c>
      <c r="C19" s="75" t="s">
        <v>192</v>
      </c>
      <c r="D19" s="72" t="s">
        <v>29</v>
      </c>
      <c r="E19" s="232"/>
      <c r="F19" s="232"/>
      <c r="G19" s="232"/>
      <c r="H19" s="54"/>
    </row>
    <row r="20" spans="2:8" ht="41.25" customHeight="1" thickBot="1">
      <c r="B20" s="120" t="s">
        <v>193</v>
      </c>
      <c r="C20" s="75" t="s">
        <v>194</v>
      </c>
      <c r="D20" s="72" t="s">
        <v>29</v>
      </c>
      <c r="E20" s="233">
        <f>SUM(E16:E19)</f>
        <v>0</v>
      </c>
      <c r="F20" s="233">
        <f>SUM(F16:F19)</f>
        <v>0</v>
      </c>
      <c r="G20" s="233">
        <f>SUM(G16:G19)</f>
        <v>0</v>
      </c>
      <c r="H20" s="54"/>
    </row>
    <row r="21" spans="2:8" ht="19.5" customHeight="1">
      <c r="B21" s="98"/>
      <c r="C21" s="98"/>
      <c r="D21" s="99"/>
      <c r="E21" s="132" t="s">
        <v>225</v>
      </c>
      <c r="F21" s="99"/>
      <c r="G21" s="99"/>
      <c r="H21" s="54"/>
    </row>
    <row r="22" spans="2:8" ht="15">
      <c r="B22" s="54"/>
      <c r="C22" s="54"/>
      <c r="D22" s="54"/>
      <c r="E22" s="133" t="s">
        <v>213</v>
      </c>
      <c r="F22" s="54"/>
      <c r="G22" s="54"/>
      <c r="H22" s="54"/>
    </row>
    <row r="23" ht="15">
      <c r="E23" s="134" t="s">
        <v>214</v>
      </c>
    </row>
    <row r="25" spans="1:5" ht="19.5" thickBot="1">
      <c r="A25" s="85" t="str">
        <f>'Перемещение '!A11</f>
        <v>1.3.</v>
      </c>
      <c r="B25" s="85" t="str">
        <f>'Перемещение '!B11</f>
        <v>Среднее расстояние транспортировки одного задержанного ТС</v>
      </c>
      <c r="C25" s="85"/>
      <c r="D25" s="85"/>
      <c r="E25" s="85"/>
    </row>
    <row r="26" spans="3:7" ht="37.5">
      <c r="C26" s="105"/>
      <c r="D26" s="135" t="s">
        <v>212</v>
      </c>
      <c r="E26" s="303" t="s">
        <v>184</v>
      </c>
      <c r="F26" s="304" t="s">
        <v>334</v>
      </c>
      <c r="G26" s="304" t="s">
        <v>195</v>
      </c>
    </row>
    <row r="27" spans="3:7" ht="19.5" thickBot="1">
      <c r="C27" s="105"/>
      <c r="D27" s="112"/>
      <c r="E27" s="127">
        <v>2020</v>
      </c>
      <c r="F27" s="128">
        <v>2021</v>
      </c>
      <c r="G27" s="128">
        <v>2022</v>
      </c>
    </row>
    <row r="28" spans="3:7" ht="19.5" thickBot="1">
      <c r="C28" s="105"/>
      <c r="D28" s="136" t="str">
        <f>'Перемещение '!C11</f>
        <v>км</v>
      </c>
      <c r="E28" s="156" t="e">
        <f>E10/E20</f>
        <v>#DIV/0!</v>
      </c>
      <c r="F28" s="156" t="e">
        <f>F10/F20</f>
        <v>#DIV/0!</v>
      </c>
      <c r="G28" s="156" t="e">
        <f>G10/G20</f>
        <v>#DIV/0!</v>
      </c>
    </row>
    <row r="30" spans="1:7" ht="18.75">
      <c r="A30" s="121" t="s">
        <v>291</v>
      </c>
      <c r="B30" s="115"/>
      <c r="C30" s="114"/>
      <c r="D30" s="114"/>
      <c r="E30" s="114"/>
      <c r="F30" s="114"/>
      <c r="G30" s="114"/>
    </row>
  </sheetData>
  <sheetProtection/>
  <mergeCells count="2">
    <mergeCell ref="C13:C14"/>
    <mergeCell ref="C3:C4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BR29"/>
  <sheetViews>
    <sheetView zoomScalePageLayoutView="0" workbookViewId="0" topLeftCell="A16">
      <selection activeCell="L8" sqref="L8"/>
    </sheetView>
  </sheetViews>
  <sheetFormatPr defaultColWidth="9.140625" defaultRowHeight="15"/>
  <cols>
    <col min="2" max="2" width="6.57421875" style="0" customWidth="1"/>
    <col min="3" max="3" width="27.00390625" style="0" customWidth="1"/>
    <col min="4" max="4" width="15.7109375" style="0" customWidth="1"/>
    <col min="5" max="5" width="16.57421875" style="0" customWidth="1"/>
    <col min="6" max="6" width="18.421875" style="0" customWidth="1"/>
    <col min="7" max="7" width="18.57421875" style="0" customWidth="1"/>
    <col min="8" max="8" width="16.00390625" style="0" customWidth="1"/>
    <col min="9" max="9" width="19.7109375" style="0" customWidth="1"/>
  </cols>
  <sheetData>
    <row r="1" spans="6:9" ht="18.75">
      <c r="F1" s="182" t="s">
        <v>286</v>
      </c>
      <c r="G1" s="190"/>
      <c r="H1" s="190"/>
      <c r="I1" s="191"/>
    </row>
    <row r="2" spans="1:12" ht="18.75">
      <c r="A2" s="85" t="str">
        <f>'Перемещение '!A13</f>
        <v>2.1.</v>
      </c>
      <c r="B2" s="85" t="str">
        <f>'Перемещение '!B13</f>
        <v>Топливо</v>
      </c>
      <c r="C2" s="86"/>
      <c r="D2" s="54"/>
      <c r="E2" s="54"/>
      <c r="F2" s="54"/>
      <c r="G2" s="54"/>
      <c r="H2" s="54"/>
      <c r="I2" s="54"/>
      <c r="J2" s="54"/>
      <c r="K2" s="54"/>
      <c r="L2" s="54"/>
    </row>
    <row r="3" spans="2:70" ht="15.75">
      <c r="B3" s="64"/>
      <c r="C3" s="64" t="s">
        <v>150</v>
      </c>
      <c r="D3" s="64"/>
      <c r="E3" s="64"/>
      <c r="F3" s="64"/>
      <c r="G3" s="64"/>
      <c r="H3" s="64"/>
      <c r="I3" s="64"/>
      <c r="J3" s="64"/>
      <c r="K3" s="64"/>
      <c r="L3" s="64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80"/>
      <c r="BL3" s="80"/>
      <c r="BM3" s="80"/>
      <c r="BN3" s="80"/>
      <c r="BO3" s="80"/>
      <c r="BP3" s="80"/>
      <c r="BQ3" s="80"/>
      <c r="BR3" s="80"/>
    </row>
    <row r="4" spans="2:70" ht="15.75">
      <c r="B4" s="64"/>
      <c r="C4" s="64" t="s">
        <v>149</v>
      </c>
      <c r="D4" s="64"/>
      <c r="E4" s="64"/>
      <c r="F4" s="64"/>
      <c r="G4" s="64"/>
      <c r="H4" s="64"/>
      <c r="I4" s="64"/>
      <c r="J4" s="64"/>
      <c r="K4" s="64"/>
      <c r="L4" s="64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80"/>
      <c r="BL4" s="80"/>
      <c r="BM4" s="80"/>
      <c r="BN4" s="80"/>
      <c r="BO4" s="80"/>
      <c r="BP4" s="80"/>
      <c r="BQ4" s="80"/>
      <c r="BR4" s="80"/>
    </row>
    <row r="5" spans="2:70" ht="15.75">
      <c r="B5" s="64"/>
      <c r="C5" s="64" t="s">
        <v>148</v>
      </c>
      <c r="D5" s="64"/>
      <c r="E5" s="64"/>
      <c r="F5" s="64"/>
      <c r="G5" s="64"/>
      <c r="H5" s="64"/>
      <c r="I5" s="64"/>
      <c r="J5" s="64"/>
      <c r="K5" s="64"/>
      <c r="L5" s="64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80"/>
      <c r="BL5" s="80"/>
      <c r="BM5" s="80"/>
      <c r="BN5" s="80"/>
      <c r="BO5" s="80"/>
      <c r="BP5" s="80"/>
      <c r="BQ5" s="80"/>
      <c r="BR5" s="80"/>
    </row>
    <row r="6" spans="2:70" ht="16.5" thickBo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80"/>
      <c r="BL6" s="80"/>
      <c r="BM6" s="80"/>
      <c r="BN6" s="80"/>
      <c r="BO6" s="80"/>
      <c r="BP6" s="80"/>
      <c r="BQ6" s="80"/>
      <c r="BR6" s="80"/>
    </row>
    <row r="7" spans="2:70" ht="37.5" customHeight="1">
      <c r="B7" s="364" t="s">
        <v>119</v>
      </c>
      <c r="C7" s="364" t="s">
        <v>120</v>
      </c>
      <c r="D7" s="308" t="s">
        <v>121</v>
      </c>
      <c r="E7" s="308" t="s">
        <v>268</v>
      </c>
      <c r="F7" s="308" t="s">
        <v>267</v>
      </c>
      <c r="G7" s="306" t="s">
        <v>271</v>
      </c>
      <c r="H7" s="308" t="s">
        <v>272</v>
      </c>
      <c r="I7" s="357" t="s">
        <v>308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</row>
    <row r="8" spans="2:70" ht="69.75" customHeight="1" thickBot="1">
      <c r="B8" s="365"/>
      <c r="C8" s="365"/>
      <c r="D8" s="120"/>
      <c r="E8" s="120"/>
      <c r="F8" s="120"/>
      <c r="G8" s="307" t="s">
        <v>122</v>
      </c>
      <c r="H8" s="120"/>
      <c r="I8" s="35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</row>
    <row r="9" spans="2:8" ht="19.5" thickBot="1">
      <c r="B9" s="71">
        <v>1</v>
      </c>
      <c r="C9" s="72">
        <v>2</v>
      </c>
      <c r="D9" s="72">
        <v>3</v>
      </c>
      <c r="E9" s="74">
        <v>4</v>
      </c>
      <c r="F9" s="74">
        <v>5</v>
      </c>
      <c r="G9" s="74">
        <v>6</v>
      </c>
      <c r="H9" s="74">
        <v>7</v>
      </c>
    </row>
    <row r="10" spans="2:8" ht="19.5" thickBot="1">
      <c r="B10" s="361" t="s">
        <v>265</v>
      </c>
      <c r="C10" s="362"/>
      <c r="D10" s="362"/>
      <c r="E10" s="362"/>
      <c r="F10" s="362"/>
      <c r="G10" s="362"/>
      <c r="H10" s="363"/>
    </row>
    <row r="11" spans="2:8" ht="19.5" thickBot="1">
      <c r="B11" s="100" t="s">
        <v>23</v>
      </c>
      <c r="C11" s="159"/>
      <c r="D11" s="234">
        <f>'стр.1.1-1.3'!E6</f>
        <v>0</v>
      </c>
      <c r="E11" s="154"/>
      <c r="F11" s="236">
        <f>D11*E11/100</f>
        <v>0</v>
      </c>
      <c r="G11" s="154"/>
      <c r="H11" s="239">
        <f>F11*G11/1000</f>
        <v>0</v>
      </c>
    </row>
    <row r="12" spans="2:8" ht="19.5" thickBot="1">
      <c r="B12" s="100" t="s">
        <v>27</v>
      </c>
      <c r="C12" s="159"/>
      <c r="D12" s="234">
        <f>'стр.1.1-1.3'!E7</f>
        <v>0</v>
      </c>
      <c r="E12" s="154"/>
      <c r="F12" s="236">
        <f>D12*E12/100</f>
        <v>0</v>
      </c>
      <c r="G12" s="154"/>
      <c r="H12" s="239">
        <f>F12*G12/1000</f>
        <v>0</v>
      </c>
    </row>
    <row r="13" spans="2:8" ht="19.5" thickBot="1">
      <c r="B13" s="100" t="s">
        <v>28</v>
      </c>
      <c r="C13" s="159"/>
      <c r="D13" s="234">
        <f>'стр.1.1-1.3'!E8</f>
        <v>0</v>
      </c>
      <c r="E13" s="154"/>
      <c r="F13" s="236">
        <f>D13*E13/100</f>
        <v>0</v>
      </c>
      <c r="G13" s="154"/>
      <c r="H13" s="239">
        <f>F13*G13/1000</f>
        <v>0</v>
      </c>
    </row>
    <row r="14" spans="2:8" ht="19.5" thickBot="1">
      <c r="B14" s="100" t="s">
        <v>31</v>
      </c>
      <c r="C14" s="159"/>
      <c r="D14" s="234">
        <f>'стр.1.1-1.3'!E9</f>
        <v>0</v>
      </c>
      <c r="E14" s="154"/>
      <c r="F14" s="236">
        <f>D14*E14/100</f>
        <v>0</v>
      </c>
      <c r="G14" s="154"/>
      <c r="H14" s="239">
        <f>F14*G14/1000</f>
        <v>0</v>
      </c>
    </row>
    <row r="15" spans="2:8" ht="19.5" thickBot="1">
      <c r="B15" s="110"/>
      <c r="C15" s="73" t="s">
        <v>123</v>
      </c>
      <c r="D15" s="234">
        <f>SUM(D11:D14)</f>
        <v>0</v>
      </c>
      <c r="E15" s="110"/>
      <c r="F15" s="237"/>
      <c r="G15" s="110"/>
      <c r="H15" s="239">
        <f>SUM(H11:H14)</f>
        <v>0</v>
      </c>
    </row>
    <row r="16" spans="2:8" ht="19.5" thickBot="1">
      <c r="B16" s="358" t="s">
        <v>331</v>
      </c>
      <c r="C16" s="359"/>
      <c r="D16" s="359"/>
      <c r="E16" s="359"/>
      <c r="F16" s="359"/>
      <c r="G16" s="359"/>
      <c r="H16" s="360"/>
    </row>
    <row r="17" spans="2:8" ht="19.5" thickBot="1">
      <c r="B17" s="100" t="s">
        <v>23</v>
      </c>
      <c r="C17" s="159"/>
      <c r="D17" s="235">
        <f>'стр.1.1-1.3'!F6</f>
        <v>0</v>
      </c>
      <c r="E17" s="155"/>
      <c r="F17" s="233">
        <f>D17*E17/100</f>
        <v>0</v>
      </c>
      <c r="G17" s="155"/>
      <c r="H17" s="240">
        <f>F17*G17/1000</f>
        <v>0</v>
      </c>
    </row>
    <row r="18" spans="2:8" ht="19.5" thickBot="1">
      <c r="B18" s="100" t="s">
        <v>27</v>
      </c>
      <c r="C18" s="159"/>
      <c r="D18" s="235">
        <f>'стр.1.1-1.3'!F7</f>
        <v>0</v>
      </c>
      <c r="E18" s="155"/>
      <c r="F18" s="233">
        <f>D18*E18/100</f>
        <v>0</v>
      </c>
      <c r="G18" s="155"/>
      <c r="H18" s="240">
        <f>F18*G18/1000</f>
        <v>0</v>
      </c>
    </row>
    <row r="19" spans="2:8" ht="19.5" thickBot="1">
      <c r="B19" s="100" t="s">
        <v>28</v>
      </c>
      <c r="C19" s="159"/>
      <c r="D19" s="235">
        <f>'стр.1.1-1.3'!F8</f>
        <v>0</v>
      </c>
      <c r="E19" s="155"/>
      <c r="F19" s="233">
        <f>D19*E19/100</f>
        <v>0</v>
      </c>
      <c r="G19" s="155"/>
      <c r="H19" s="240">
        <f>F19*G19/1000</f>
        <v>0</v>
      </c>
    </row>
    <row r="20" spans="2:8" ht="19.5" thickBot="1">
      <c r="B20" s="100" t="s">
        <v>31</v>
      </c>
      <c r="C20" s="159"/>
      <c r="D20" s="235">
        <f>'стр.1.1-1.3'!F9</f>
        <v>0</v>
      </c>
      <c r="E20" s="155"/>
      <c r="F20" s="233">
        <f>D20*E20/100</f>
        <v>0</v>
      </c>
      <c r="G20" s="155"/>
      <c r="H20" s="240">
        <f>F20*G20/1000</f>
        <v>0</v>
      </c>
    </row>
    <row r="21" spans="2:8" ht="19.5" thickBot="1">
      <c r="B21" s="100"/>
      <c r="C21" s="73" t="s">
        <v>123</v>
      </c>
      <c r="D21" s="235">
        <f>SUM(D17:D20)</f>
        <v>0</v>
      </c>
      <c r="E21" s="72"/>
      <c r="F21" s="238"/>
      <c r="G21" s="72"/>
      <c r="H21" s="240">
        <f>SUM(H17:H20)</f>
        <v>0</v>
      </c>
    </row>
    <row r="22" spans="2:8" ht="19.5" thickBot="1">
      <c r="B22" s="358" t="s">
        <v>332</v>
      </c>
      <c r="C22" s="359"/>
      <c r="D22" s="359"/>
      <c r="E22" s="359"/>
      <c r="F22" s="359"/>
      <c r="G22" s="359"/>
      <c r="H22" s="360"/>
    </row>
    <row r="23" spans="2:8" ht="19.5" thickBot="1">
      <c r="B23" s="100" t="s">
        <v>23</v>
      </c>
      <c r="C23" s="159"/>
      <c r="D23" s="235">
        <f>'стр.1.1-1.3'!G6</f>
        <v>0</v>
      </c>
      <c r="E23" s="155"/>
      <c r="F23" s="233">
        <f>D23*E23/100</f>
        <v>0</v>
      </c>
      <c r="G23" s="155"/>
      <c r="H23" s="240">
        <f>F23*G23/1000</f>
        <v>0</v>
      </c>
    </row>
    <row r="24" spans="2:8" ht="19.5" thickBot="1">
      <c r="B24" s="100" t="s">
        <v>27</v>
      </c>
      <c r="C24" s="159"/>
      <c r="D24" s="235">
        <f>'стр.1.1-1.3'!G7</f>
        <v>0</v>
      </c>
      <c r="E24" s="155"/>
      <c r="F24" s="233">
        <f>D24*E24/100</f>
        <v>0</v>
      </c>
      <c r="G24" s="155"/>
      <c r="H24" s="240">
        <f>F24*G24/1000</f>
        <v>0</v>
      </c>
    </row>
    <row r="25" spans="2:8" ht="19.5" thickBot="1">
      <c r="B25" s="100" t="s">
        <v>28</v>
      </c>
      <c r="C25" s="159"/>
      <c r="D25" s="235">
        <f>'стр.1.1-1.3'!G8</f>
        <v>0</v>
      </c>
      <c r="E25" s="155"/>
      <c r="F25" s="233">
        <f>D25*E25/100</f>
        <v>0</v>
      </c>
      <c r="G25" s="155"/>
      <c r="H25" s="240">
        <f>F25*G25/1000</f>
        <v>0</v>
      </c>
    </row>
    <row r="26" spans="2:8" ht="19.5" thickBot="1">
      <c r="B26" s="100" t="s">
        <v>31</v>
      </c>
      <c r="C26" s="159"/>
      <c r="D26" s="235">
        <f>'стр.1.1-1.3'!G9</f>
        <v>0</v>
      </c>
      <c r="E26" s="155"/>
      <c r="F26" s="233">
        <f>D26*E26/100</f>
        <v>0</v>
      </c>
      <c r="G26" s="155"/>
      <c r="H26" s="240">
        <f>F26*G26/1000</f>
        <v>0</v>
      </c>
    </row>
    <row r="27" spans="2:8" ht="19.5" thickBot="1">
      <c r="B27" s="100"/>
      <c r="C27" s="73" t="s">
        <v>123</v>
      </c>
      <c r="D27" s="235">
        <f>SUM(D23:D26)</f>
        <v>0</v>
      </c>
      <c r="E27" s="72"/>
      <c r="F27" s="238"/>
      <c r="G27" s="72"/>
      <c r="H27" s="240">
        <f>SUM(H23:H26)</f>
        <v>0</v>
      </c>
    </row>
    <row r="29" spans="1:7" ht="18.75">
      <c r="A29" s="121" t="s">
        <v>291</v>
      </c>
      <c r="B29" s="115"/>
      <c r="C29" s="114"/>
      <c r="D29" s="114"/>
      <c r="E29" s="114"/>
      <c r="F29" s="114"/>
      <c r="G29" s="114"/>
    </row>
  </sheetData>
  <sheetProtection/>
  <mergeCells count="6">
    <mergeCell ref="I7:I8"/>
    <mergeCell ref="B16:H16"/>
    <mergeCell ref="B22:H22"/>
    <mergeCell ref="B10:H10"/>
    <mergeCell ref="C7:C8"/>
    <mergeCell ref="B7:B8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K36"/>
  <sheetViews>
    <sheetView zoomScalePageLayoutView="0" workbookViewId="0" topLeftCell="A1">
      <selection activeCell="G40" sqref="G40"/>
    </sheetView>
  </sheetViews>
  <sheetFormatPr defaultColWidth="9.140625" defaultRowHeight="15"/>
  <cols>
    <col min="3" max="3" width="24.28125" style="0" customWidth="1"/>
    <col min="4" max="4" width="19.28125" style="0" customWidth="1"/>
    <col min="5" max="5" width="22.7109375" style="0" customWidth="1"/>
    <col min="6" max="6" width="19.57421875" style="0" customWidth="1"/>
    <col min="7" max="7" width="21.8515625" style="0" customWidth="1"/>
    <col min="8" max="8" width="21.00390625" style="0" customWidth="1"/>
  </cols>
  <sheetData>
    <row r="1" spans="6:9" ht="18.75">
      <c r="F1" s="182" t="s">
        <v>287</v>
      </c>
      <c r="G1" s="190"/>
      <c r="H1" s="190"/>
      <c r="I1" s="191"/>
    </row>
    <row r="2" spans="1:63" ht="18.75">
      <c r="A2" s="85" t="str">
        <f>'Перемещение '!A14</f>
        <v>2.2.</v>
      </c>
      <c r="B2" s="85" t="str">
        <f>'Перемещение '!B14</f>
        <v>Амортизация транспортных средств</v>
      </c>
      <c r="C2" s="87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</row>
    <row r="3" spans="2:63" ht="15.75">
      <c r="B3" s="81"/>
      <c r="C3" s="64" t="s">
        <v>151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</row>
    <row r="4" spans="2:63" ht="15.75">
      <c r="B4" s="81"/>
      <c r="C4" s="64" t="s">
        <v>230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</row>
    <row r="5" spans="2:63" ht="15.75">
      <c r="B5" s="81"/>
      <c r="C5" s="64" t="s">
        <v>229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</row>
    <row r="6" spans="2:63" ht="15.75">
      <c r="B6" s="81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</row>
    <row r="7" spans="2:63" ht="15.75">
      <c r="B7" s="81"/>
      <c r="C7" s="64" t="s">
        <v>153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</row>
    <row r="8" spans="2:63" ht="15.75">
      <c r="B8" s="81"/>
      <c r="C8" s="64" t="s">
        <v>152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</row>
    <row r="9" spans="2:63" ht="15.75">
      <c r="B9" s="81"/>
      <c r="C9" s="64" t="s">
        <v>231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</row>
    <row r="10" spans="2:63" ht="15.75">
      <c r="B10" s="81"/>
      <c r="C10" s="64" t="s">
        <v>233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</row>
    <row r="11" spans="2:3" ht="19.5" thickBot="1">
      <c r="B11" s="78"/>
      <c r="C11" s="79"/>
    </row>
    <row r="12" spans="2:8" ht="36.75" customHeight="1">
      <c r="B12" s="308" t="s">
        <v>119</v>
      </c>
      <c r="C12" s="306" t="s">
        <v>124</v>
      </c>
      <c r="D12" s="306" t="s">
        <v>127</v>
      </c>
      <c r="E12" s="306" t="s">
        <v>131</v>
      </c>
      <c r="F12" s="306" t="s">
        <v>134</v>
      </c>
      <c r="G12" s="306" t="s">
        <v>257</v>
      </c>
      <c r="H12" s="357" t="s">
        <v>308</v>
      </c>
    </row>
    <row r="13" spans="2:8" ht="24" customHeight="1">
      <c r="B13" s="309"/>
      <c r="C13" s="307" t="s">
        <v>125</v>
      </c>
      <c r="D13" s="307" t="s">
        <v>128</v>
      </c>
      <c r="E13" s="307" t="s">
        <v>132</v>
      </c>
      <c r="F13" s="307" t="s">
        <v>135</v>
      </c>
      <c r="G13" s="307" t="s">
        <v>135</v>
      </c>
      <c r="H13" s="357"/>
    </row>
    <row r="14" spans="2:8" ht="18" customHeight="1">
      <c r="B14" s="310"/>
      <c r="C14" s="307" t="s">
        <v>126</v>
      </c>
      <c r="D14" s="307" t="s">
        <v>129</v>
      </c>
      <c r="E14" s="311" t="s">
        <v>100</v>
      </c>
      <c r="F14" s="311" t="s">
        <v>136</v>
      </c>
      <c r="G14" s="311" t="s">
        <v>100</v>
      </c>
      <c r="H14" s="357"/>
    </row>
    <row r="15" spans="2:8" ht="19.5" thickBot="1">
      <c r="B15" s="312"/>
      <c r="C15" s="313"/>
      <c r="D15" s="72" t="s">
        <v>130</v>
      </c>
      <c r="E15" s="313"/>
      <c r="F15" s="313"/>
      <c r="G15" s="313"/>
      <c r="H15" s="357"/>
    </row>
    <row r="16" spans="2:7" ht="19.5" thickBot="1">
      <c r="B16" s="71">
        <v>1</v>
      </c>
      <c r="C16" s="72">
        <v>2</v>
      </c>
      <c r="D16" s="72">
        <v>3</v>
      </c>
      <c r="E16" s="72">
        <v>4</v>
      </c>
      <c r="F16" s="72">
        <v>5</v>
      </c>
      <c r="G16" s="72">
        <v>6</v>
      </c>
    </row>
    <row r="17" spans="2:7" ht="19.5" thickBot="1">
      <c r="B17" s="361" t="s">
        <v>265</v>
      </c>
      <c r="C17" s="362"/>
      <c r="D17" s="362"/>
      <c r="E17" s="362"/>
      <c r="F17" s="362"/>
      <c r="G17" s="363"/>
    </row>
    <row r="18" spans="2:7" ht="19.5" thickBot="1">
      <c r="B18" s="71" t="s">
        <v>23</v>
      </c>
      <c r="C18" s="160"/>
      <c r="D18" s="155"/>
      <c r="E18" s="241"/>
      <c r="F18" s="155"/>
      <c r="G18" s="240">
        <f>E18*F18/100</f>
        <v>0</v>
      </c>
    </row>
    <row r="19" spans="2:7" ht="19.5" thickBot="1">
      <c r="B19" s="71" t="s">
        <v>27</v>
      </c>
      <c r="C19" s="160"/>
      <c r="D19" s="155"/>
      <c r="E19" s="241"/>
      <c r="F19" s="155"/>
      <c r="G19" s="240">
        <f>E19*F19/100</f>
        <v>0</v>
      </c>
    </row>
    <row r="20" spans="2:7" ht="19.5" thickBot="1">
      <c r="B20" s="71" t="s">
        <v>28</v>
      </c>
      <c r="C20" s="160"/>
      <c r="D20" s="155"/>
      <c r="E20" s="241"/>
      <c r="F20" s="155"/>
      <c r="G20" s="240">
        <f>E20*F20/100</f>
        <v>0</v>
      </c>
    </row>
    <row r="21" spans="2:7" ht="19.5" thickBot="1">
      <c r="B21" s="71" t="s">
        <v>31</v>
      </c>
      <c r="C21" s="160"/>
      <c r="D21" s="155"/>
      <c r="E21" s="241"/>
      <c r="F21" s="155"/>
      <c r="G21" s="240">
        <f>E21*F21/100</f>
        <v>0</v>
      </c>
    </row>
    <row r="22" spans="2:7" ht="19.5" thickBot="1">
      <c r="B22" s="76"/>
      <c r="C22" s="75" t="s">
        <v>137</v>
      </c>
      <c r="D22" s="72"/>
      <c r="E22" s="72"/>
      <c r="F22" s="72"/>
      <c r="G22" s="240">
        <f>SUM(G18:G21)</f>
        <v>0</v>
      </c>
    </row>
    <row r="23" spans="2:7" ht="19.5" thickBot="1">
      <c r="B23" s="358" t="s">
        <v>331</v>
      </c>
      <c r="C23" s="359"/>
      <c r="D23" s="359"/>
      <c r="E23" s="359"/>
      <c r="F23" s="359"/>
      <c r="G23" s="360"/>
    </row>
    <row r="24" spans="2:7" ht="19.5" thickBot="1">
      <c r="B24" s="100" t="s">
        <v>23</v>
      </c>
      <c r="C24" s="160"/>
      <c r="D24" s="155"/>
      <c r="E24" s="241"/>
      <c r="F24" s="155"/>
      <c r="G24" s="240">
        <f>E24*F24/100</f>
        <v>0</v>
      </c>
    </row>
    <row r="25" spans="2:7" ht="19.5" thickBot="1">
      <c r="B25" s="100" t="s">
        <v>27</v>
      </c>
      <c r="C25" s="160"/>
      <c r="D25" s="155"/>
      <c r="E25" s="241"/>
      <c r="F25" s="155"/>
      <c r="G25" s="240">
        <f>E25*F25/100</f>
        <v>0</v>
      </c>
    </row>
    <row r="26" spans="2:7" ht="19.5" thickBot="1">
      <c r="B26" s="100" t="s">
        <v>28</v>
      </c>
      <c r="C26" s="160"/>
      <c r="D26" s="155"/>
      <c r="E26" s="241"/>
      <c r="F26" s="155"/>
      <c r="G26" s="240">
        <f>E26*F26/100</f>
        <v>0</v>
      </c>
    </row>
    <row r="27" spans="2:7" ht="19.5" thickBot="1">
      <c r="B27" s="100" t="s">
        <v>31</v>
      </c>
      <c r="C27" s="160"/>
      <c r="D27" s="155"/>
      <c r="E27" s="241"/>
      <c r="F27" s="155"/>
      <c r="G27" s="240">
        <f>E27*F27/100</f>
        <v>0</v>
      </c>
    </row>
    <row r="28" spans="2:7" ht="19.5" thickBot="1">
      <c r="B28" s="76"/>
      <c r="C28" s="75" t="s">
        <v>137</v>
      </c>
      <c r="D28" s="72"/>
      <c r="E28" s="242"/>
      <c r="F28" s="72"/>
      <c r="G28" s="240">
        <f>SUM(G24:G27)</f>
        <v>0</v>
      </c>
    </row>
    <row r="29" spans="2:7" ht="19.5" thickBot="1">
      <c r="B29" s="358" t="s">
        <v>332</v>
      </c>
      <c r="C29" s="359"/>
      <c r="D29" s="359"/>
      <c r="E29" s="359"/>
      <c r="F29" s="359"/>
      <c r="G29" s="360"/>
    </row>
    <row r="30" spans="2:7" ht="19.5" thickBot="1">
      <c r="B30" s="100" t="s">
        <v>23</v>
      </c>
      <c r="C30" s="160"/>
      <c r="D30" s="155"/>
      <c r="E30" s="241"/>
      <c r="F30" s="155"/>
      <c r="G30" s="240">
        <f>E30*F30/100</f>
        <v>0</v>
      </c>
    </row>
    <row r="31" spans="2:7" ht="19.5" thickBot="1">
      <c r="B31" s="100" t="s">
        <v>27</v>
      </c>
      <c r="C31" s="160"/>
      <c r="D31" s="155"/>
      <c r="E31" s="241"/>
      <c r="F31" s="155"/>
      <c r="G31" s="240">
        <f>E31*F31/100</f>
        <v>0</v>
      </c>
    </row>
    <row r="32" spans="2:7" ht="19.5" thickBot="1">
      <c r="B32" s="100" t="s">
        <v>28</v>
      </c>
      <c r="C32" s="160"/>
      <c r="D32" s="155"/>
      <c r="E32" s="241"/>
      <c r="F32" s="155"/>
      <c r="G32" s="240">
        <f>E32*F32/100</f>
        <v>0</v>
      </c>
    </row>
    <row r="33" spans="2:7" ht="19.5" thickBot="1">
      <c r="B33" s="100" t="s">
        <v>31</v>
      </c>
      <c r="C33" s="160"/>
      <c r="D33" s="155"/>
      <c r="E33" s="241"/>
      <c r="F33" s="155"/>
      <c r="G33" s="240">
        <f>E33*F33/100</f>
        <v>0</v>
      </c>
    </row>
    <row r="34" spans="2:7" ht="19.5" thickBot="1">
      <c r="B34" s="76"/>
      <c r="C34" s="75" t="s">
        <v>137</v>
      </c>
      <c r="D34" s="72"/>
      <c r="E34" s="242"/>
      <c r="F34" s="72"/>
      <c r="G34" s="240">
        <f>SUM(G30:G33)</f>
        <v>0</v>
      </c>
    </row>
    <row r="36" spans="1:7" ht="18.75">
      <c r="A36" s="121" t="s">
        <v>291</v>
      </c>
      <c r="B36" s="115"/>
      <c r="C36" s="114"/>
      <c r="D36" s="114"/>
      <c r="E36" s="114"/>
      <c r="F36" s="114"/>
      <c r="G36" s="114"/>
    </row>
  </sheetData>
  <sheetProtection/>
  <mergeCells count="4">
    <mergeCell ref="B17:G17"/>
    <mergeCell ref="B23:G23"/>
    <mergeCell ref="B29:G29"/>
    <mergeCell ref="H12:H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26"/>
  <sheetViews>
    <sheetView zoomScalePageLayoutView="0" workbookViewId="0" topLeftCell="A10">
      <selection activeCell="D23" sqref="D23"/>
    </sheetView>
  </sheetViews>
  <sheetFormatPr defaultColWidth="9.140625" defaultRowHeight="15"/>
  <cols>
    <col min="2" max="2" width="9.140625" style="0" customWidth="1"/>
    <col min="3" max="3" width="26.8515625" style="0" customWidth="1"/>
    <col min="4" max="4" width="16.7109375" style="0" customWidth="1"/>
    <col min="5" max="5" width="21.7109375" style="0" customWidth="1"/>
    <col min="6" max="7" width="20.8515625" style="0" customWidth="1"/>
    <col min="8" max="8" width="22.140625" style="0" customWidth="1"/>
    <col min="9" max="9" width="21.57421875" style="0" customWidth="1"/>
  </cols>
  <sheetData>
    <row r="1" spans="6:9" ht="18.75">
      <c r="F1" s="182" t="s">
        <v>288</v>
      </c>
      <c r="G1" s="190"/>
      <c r="H1" s="190"/>
      <c r="I1" s="191"/>
    </row>
    <row r="2" spans="1:10" ht="18.75">
      <c r="A2" s="85" t="str">
        <f>'Перемещение '!A15</f>
        <v>2.3.</v>
      </c>
      <c r="B2" s="88" t="str">
        <f>'Перемещение '!B15</f>
        <v>Оплата труда</v>
      </c>
      <c r="C2" s="89"/>
      <c r="D2" s="83"/>
      <c r="E2" s="83"/>
      <c r="F2" s="83"/>
      <c r="G2" s="83"/>
      <c r="H2" s="83"/>
      <c r="I2" s="83"/>
      <c r="J2" s="83"/>
    </row>
    <row r="3" spans="1:10" ht="18.75">
      <c r="A3" s="114"/>
      <c r="B3" s="82"/>
      <c r="C3" s="84" t="s">
        <v>232</v>
      </c>
      <c r="D3" s="83"/>
      <c r="E3" s="83"/>
      <c r="F3" s="83"/>
      <c r="G3" s="83"/>
      <c r="H3" s="83"/>
      <c r="I3" s="83"/>
      <c r="J3" s="83"/>
    </row>
    <row r="4" spans="1:10" ht="18.75">
      <c r="A4" s="85" t="str">
        <f>'Перемещение '!A18</f>
        <v>2.4.</v>
      </c>
      <c r="B4" s="88" t="s">
        <v>74</v>
      </c>
      <c r="C4" s="137"/>
      <c r="D4" s="89"/>
      <c r="E4" s="83"/>
      <c r="F4" s="83"/>
      <c r="G4" s="83"/>
      <c r="H4" s="83"/>
      <c r="I4" s="83"/>
      <c r="J4" s="83"/>
    </row>
    <row r="5" spans="3:14" ht="15.75">
      <c r="C5" s="64" t="s">
        <v>154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3:14" ht="15">
      <c r="C6" s="54" t="s">
        <v>234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4:14" ht="15.75" thickBot="1"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2:9" ht="24.75" customHeight="1">
      <c r="B8" s="308" t="s">
        <v>119</v>
      </c>
      <c r="C8" s="306" t="s">
        <v>124</v>
      </c>
      <c r="D8" s="306" t="s">
        <v>259</v>
      </c>
      <c r="E8" s="306" t="s">
        <v>140</v>
      </c>
      <c r="F8" s="306" t="s">
        <v>221</v>
      </c>
      <c r="G8" s="314" t="s">
        <v>206</v>
      </c>
      <c r="H8" s="314" t="s">
        <v>206</v>
      </c>
      <c r="I8" s="357" t="s">
        <v>308</v>
      </c>
    </row>
    <row r="9" spans="2:9" ht="21.75" customHeight="1">
      <c r="B9" s="309"/>
      <c r="C9" s="307" t="s">
        <v>138</v>
      </c>
      <c r="D9" s="307" t="s">
        <v>258</v>
      </c>
      <c r="E9" s="307" t="s">
        <v>141</v>
      </c>
      <c r="F9" s="307" t="s">
        <v>222</v>
      </c>
      <c r="G9" s="315" t="s">
        <v>207</v>
      </c>
      <c r="H9" s="315" t="s">
        <v>207</v>
      </c>
      <c r="I9" s="357"/>
    </row>
    <row r="10" spans="2:9" ht="19.5" customHeight="1">
      <c r="B10" s="310"/>
      <c r="C10" s="316"/>
      <c r="D10" s="307" t="s">
        <v>139</v>
      </c>
      <c r="E10" s="307" t="s">
        <v>142</v>
      </c>
      <c r="F10" s="317" t="s">
        <v>100</v>
      </c>
      <c r="G10" s="315" t="s">
        <v>269</v>
      </c>
      <c r="H10" s="315" t="s">
        <v>223</v>
      </c>
      <c r="I10" s="357"/>
    </row>
    <row r="11" spans="2:9" ht="19.5" thickBot="1">
      <c r="B11" s="312"/>
      <c r="C11" s="313"/>
      <c r="D11" s="313"/>
      <c r="E11" s="318" t="s">
        <v>133</v>
      </c>
      <c r="F11" s="319"/>
      <c r="G11" s="317" t="s">
        <v>136</v>
      </c>
      <c r="H11" s="317" t="s">
        <v>100</v>
      </c>
      <c r="I11" s="357"/>
    </row>
    <row r="12" spans="2:8" ht="19.5" thickBot="1">
      <c r="B12" s="71">
        <v>1</v>
      </c>
      <c r="C12" s="72">
        <v>2</v>
      </c>
      <c r="D12" s="72">
        <v>3</v>
      </c>
      <c r="E12" s="72">
        <v>4</v>
      </c>
      <c r="F12" s="138">
        <v>5</v>
      </c>
      <c r="G12" s="110">
        <v>6</v>
      </c>
      <c r="H12" s="136">
        <v>7</v>
      </c>
    </row>
    <row r="13" spans="2:8" ht="19.5" customHeight="1" thickBot="1">
      <c r="B13" s="361" t="s">
        <v>265</v>
      </c>
      <c r="C13" s="362"/>
      <c r="D13" s="362"/>
      <c r="E13" s="362"/>
      <c r="F13" s="362"/>
      <c r="G13" s="362"/>
      <c r="H13" s="363"/>
    </row>
    <row r="14" spans="2:8" ht="19.5" thickBot="1">
      <c r="B14" s="140" t="s">
        <v>23</v>
      </c>
      <c r="C14" s="280" t="s">
        <v>320</v>
      </c>
      <c r="D14" s="161"/>
      <c r="E14" s="243"/>
      <c r="F14" s="245">
        <f>D14*E14*12/1000</f>
        <v>0</v>
      </c>
      <c r="G14" s="162"/>
      <c r="H14" s="247">
        <f>F14*G14/100</f>
        <v>0</v>
      </c>
    </row>
    <row r="15" spans="2:8" ht="19.5" thickBot="1">
      <c r="B15" s="140" t="s">
        <v>27</v>
      </c>
      <c r="C15" s="280" t="s">
        <v>321</v>
      </c>
      <c r="D15" s="161"/>
      <c r="E15" s="243"/>
      <c r="F15" s="245">
        <f>D15*E15*12/1000</f>
        <v>0</v>
      </c>
      <c r="G15" s="162"/>
      <c r="H15" s="247">
        <f>F15*G15/100</f>
        <v>0</v>
      </c>
    </row>
    <row r="16" spans="2:8" ht="19.5" thickBot="1">
      <c r="B16" s="140"/>
      <c r="C16" s="141" t="s">
        <v>137</v>
      </c>
      <c r="D16" s="163">
        <f>SUM(D14:D15)</f>
        <v>0</v>
      </c>
      <c r="E16" s="244"/>
      <c r="F16" s="246">
        <f>SUM(F14:F15)</f>
        <v>0</v>
      </c>
      <c r="G16" s="164"/>
      <c r="H16" s="248">
        <f>SUM(H14:H15)</f>
        <v>0</v>
      </c>
    </row>
    <row r="17" spans="2:8" ht="19.5" customHeight="1" thickBot="1">
      <c r="B17" s="366" t="s">
        <v>331</v>
      </c>
      <c r="C17" s="367"/>
      <c r="D17" s="367"/>
      <c r="E17" s="367"/>
      <c r="F17" s="367"/>
      <c r="G17" s="367"/>
      <c r="H17" s="368"/>
    </row>
    <row r="18" spans="2:8" ht="19.5" thickBot="1">
      <c r="B18" s="140" t="s">
        <v>23</v>
      </c>
      <c r="C18" s="280" t="s">
        <v>320</v>
      </c>
      <c r="D18" s="161"/>
      <c r="E18" s="243"/>
      <c r="F18" s="245">
        <f>D18*E18*12/1000</f>
        <v>0</v>
      </c>
      <c r="G18" s="162"/>
      <c r="H18" s="249">
        <f>F18*G18/100</f>
        <v>0</v>
      </c>
    </row>
    <row r="19" spans="2:8" ht="19.5" thickBot="1">
      <c r="B19" s="140" t="s">
        <v>27</v>
      </c>
      <c r="C19" s="280" t="s">
        <v>321</v>
      </c>
      <c r="D19" s="161"/>
      <c r="E19" s="243"/>
      <c r="F19" s="245">
        <f>D19*E19*12/1000</f>
        <v>0</v>
      </c>
      <c r="G19" s="162"/>
      <c r="H19" s="249">
        <f>F19*G19/100</f>
        <v>0</v>
      </c>
    </row>
    <row r="20" spans="2:8" ht="19.5" thickBot="1">
      <c r="B20" s="140"/>
      <c r="C20" s="141" t="s">
        <v>137</v>
      </c>
      <c r="D20" s="163">
        <f>SUM(D18:D19)</f>
        <v>0</v>
      </c>
      <c r="E20" s="244"/>
      <c r="F20" s="246">
        <f>SUM(F18:F19)</f>
        <v>0</v>
      </c>
      <c r="G20" s="164"/>
      <c r="H20" s="249">
        <f>SUM(H18:H19)</f>
        <v>0</v>
      </c>
    </row>
    <row r="21" spans="2:8" ht="19.5" customHeight="1" thickBot="1">
      <c r="B21" s="366" t="s">
        <v>332</v>
      </c>
      <c r="C21" s="367"/>
      <c r="D21" s="367"/>
      <c r="E21" s="367"/>
      <c r="F21" s="367"/>
      <c r="G21" s="367"/>
      <c r="H21" s="368"/>
    </row>
    <row r="22" spans="2:8" ht="19.5" thickBot="1">
      <c r="B22" s="140" t="s">
        <v>23</v>
      </c>
      <c r="C22" s="280" t="s">
        <v>320</v>
      </c>
      <c r="D22" s="161"/>
      <c r="E22" s="243"/>
      <c r="F22" s="245">
        <f>D22*E22*12/1000</f>
        <v>0</v>
      </c>
      <c r="G22" s="162"/>
      <c r="H22" s="250">
        <f>F22*G22/100</f>
        <v>0</v>
      </c>
    </row>
    <row r="23" spans="2:8" ht="19.5" thickBot="1">
      <c r="B23" s="140" t="s">
        <v>27</v>
      </c>
      <c r="C23" s="280" t="s">
        <v>321</v>
      </c>
      <c r="D23" s="161"/>
      <c r="E23" s="243"/>
      <c r="F23" s="245">
        <f>D23*E23*12/1000</f>
        <v>0</v>
      </c>
      <c r="G23" s="162"/>
      <c r="H23" s="250">
        <f>F23*G23/100</f>
        <v>0</v>
      </c>
    </row>
    <row r="24" spans="2:8" ht="19.5" thickBot="1">
      <c r="B24" s="140"/>
      <c r="C24" s="141" t="s">
        <v>137</v>
      </c>
      <c r="D24" s="163">
        <f>SUM(D22:D23)</f>
        <v>0</v>
      </c>
      <c r="E24" s="244"/>
      <c r="F24" s="246">
        <f>SUM(F22:F23)</f>
        <v>0</v>
      </c>
      <c r="G24" s="176"/>
      <c r="H24" s="250">
        <f>SUM(H22:H23)</f>
        <v>0</v>
      </c>
    </row>
    <row r="25" ht="15">
      <c r="H25" s="139"/>
    </row>
    <row r="26" spans="1:7" ht="18.75">
      <c r="A26" s="121" t="s">
        <v>291</v>
      </c>
      <c r="B26" s="115"/>
      <c r="C26" s="114"/>
      <c r="D26" s="114"/>
      <c r="E26" s="114"/>
      <c r="F26" s="114"/>
      <c r="G26" s="114"/>
    </row>
  </sheetData>
  <sheetProtection/>
  <mergeCells count="4">
    <mergeCell ref="B13:H13"/>
    <mergeCell ref="B17:H17"/>
    <mergeCell ref="B21:H21"/>
    <mergeCell ref="I8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CC77"/>
  <sheetViews>
    <sheetView zoomScalePageLayoutView="0" workbookViewId="0" topLeftCell="A55">
      <selection activeCell="D57" sqref="D57"/>
    </sheetView>
  </sheetViews>
  <sheetFormatPr defaultColWidth="9.140625" defaultRowHeight="15"/>
  <cols>
    <col min="2" max="2" width="7.140625" style="0" customWidth="1"/>
    <col min="3" max="4" width="26.421875" style="0" customWidth="1"/>
    <col min="5" max="5" width="21.8515625" style="0" customWidth="1"/>
    <col min="6" max="6" width="25.7109375" style="0" customWidth="1"/>
    <col min="7" max="7" width="17.421875" style="0" customWidth="1"/>
    <col min="8" max="8" width="15.140625" style="0" customWidth="1"/>
    <col min="9" max="9" width="18.00390625" style="0" customWidth="1"/>
    <col min="10" max="10" width="15.8515625" style="0" customWidth="1"/>
    <col min="11" max="11" width="14.421875" style="0" customWidth="1"/>
    <col min="12" max="12" width="16.140625" style="0" customWidth="1"/>
    <col min="13" max="13" width="14.00390625" style="0" customWidth="1"/>
    <col min="14" max="14" width="14.140625" style="0" customWidth="1"/>
    <col min="15" max="15" width="17.7109375" style="0" customWidth="1"/>
    <col min="16" max="16" width="13.7109375" style="0" customWidth="1"/>
    <col min="17" max="17" width="14.57421875" style="0" customWidth="1"/>
    <col min="18" max="18" width="19.421875" style="0" customWidth="1"/>
    <col min="20" max="20" width="15.7109375" style="0" customWidth="1"/>
  </cols>
  <sheetData>
    <row r="1" spans="6:9" ht="18.75">
      <c r="F1" s="182" t="s">
        <v>288</v>
      </c>
      <c r="G1" s="190"/>
      <c r="H1" s="190"/>
      <c r="I1" s="191"/>
    </row>
    <row r="2" spans="1:5" ht="18.75">
      <c r="A2" s="85" t="str">
        <f>'Перемещение '!A19</f>
        <v>2.5.</v>
      </c>
      <c r="B2" s="85" t="str">
        <f>'Перемещение '!B19</f>
        <v>Содержание и ремонт , в т.ч.</v>
      </c>
      <c r="C2" s="87"/>
      <c r="D2" s="87"/>
      <c r="E2" s="54"/>
    </row>
    <row r="3" spans="2:81" ht="18.75">
      <c r="B3" s="78"/>
      <c r="C3" s="64" t="s">
        <v>170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</row>
    <row r="4" spans="2:81" ht="18.75">
      <c r="B4" s="78"/>
      <c r="C4" s="64" t="s">
        <v>155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</row>
    <row r="5" spans="2:81" ht="18.75">
      <c r="B5" s="78"/>
      <c r="C5" s="64" t="s">
        <v>156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</row>
    <row r="6" spans="2:68" ht="18.75">
      <c r="B6" s="78"/>
      <c r="C6" s="64" t="s">
        <v>235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</row>
    <row r="7" spans="2:68" ht="18.75">
      <c r="B7" s="78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</row>
    <row r="8" spans="2:6" ht="19.5" thickBot="1">
      <c r="B8" s="85" t="str">
        <f>'Перемещение '!A20</f>
        <v>2.5.1</v>
      </c>
      <c r="C8" s="85" t="str">
        <f>'Перемещение '!B20</f>
        <v>Смазочные и прочие эксплуатационные материалы</v>
      </c>
      <c r="D8" s="85"/>
      <c r="E8" s="85"/>
      <c r="F8" s="16"/>
    </row>
    <row r="9" spans="2:20" ht="37.5" customHeight="1" thickBot="1">
      <c r="B9" s="364" t="s">
        <v>196</v>
      </c>
      <c r="C9" s="364" t="s">
        <v>120</v>
      </c>
      <c r="D9" s="364" t="s">
        <v>266</v>
      </c>
      <c r="E9" s="364" t="s">
        <v>270</v>
      </c>
      <c r="F9" s="371" t="s">
        <v>197</v>
      </c>
      <c r="G9" s="372"/>
      <c r="H9" s="373"/>
      <c r="I9" s="374" t="s">
        <v>198</v>
      </c>
      <c r="J9" s="372"/>
      <c r="K9" s="373"/>
      <c r="L9" s="371" t="s">
        <v>200</v>
      </c>
      <c r="M9" s="372"/>
      <c r="N9" s="373"/>
      <c r="O9" s="374" t="s">
        <v>201</v>
      </c>
      <c r="P9" s="372"/>
      <c r="Q9" s="373"/>
      <c r="R9" s="385" t="s">
        <v>279</v>
      </c>
      <c r="T9" s="369" t="s">
        <v>308</v>
      </c>
    </row>
    <row r="10" spans="2:20" ht="75.75" thickBot="1">
      <c r="B10" s="370"/>
      <c r="C10" s="370"/>
      <c r="D10" s="370"/>
      <c r="E10" s="370"/>
      <c r="F10" s="320" t="s">
        <v>283</v>
      </c>
      <c r="G10" s="321" t="s">
        <v>273</v>
      </c>
      <c r="H10" s="321" t="s">
        <v>274</v>
      </c>
      <c r="I10" s="321" t="s">
        <v>283</v>
      </c>
      <c r="J10" s="321" t="s">
        <v>275</v>
      </c>
      <c r="K10" s="321" t="s">
        <v>276</v>
      </c>
      <c r="L10" s="321" t="s">
        <v>283</v>
      </c>
      <c r="M10" s="321" t="s">
        <v>273</v>
      </c>
      <c r="N10" s="321" t="s">
        <v>274</v>
      </c>
      <c r="O10" s="321" t="s">
        <v>283</v>
      </c>
      <c r="P10" s="321" t="s">
        <v>277</v>
      </c>
      <c r="Q10" s="321" t="s">
        <v>278</v>
      </c>
      <c r="R10" s="386"/>
      <c r="T10" s="369"/>
    </row>
    <row r="11" spans="2:18" ht="19.5" thickBot="1">
      <c r="B11" s="90">
        <v>1</v>
      </c>
      <c r="C11" s="91">
        <v>2</v>
      </c>
      <c r="D11" s="91">
        <v>3</v>
      </c>
      <c r="E11" s="91">
        <v>4</v>
      </c>
      <c r="F11" s="91">
        <v>5</v>
      </c>
      <c r="G11" s="91">
        <v>6</v>
      </c>
      <c r="H11" s="91">
        <v>7</v>
      </c>
      <c r="I11" s="91">
        <v>8</v>
      </c>
      <c r="J11" s="91">
        <v>9</v>
      </c>
      <c r="K11" s="91">
        <v>10</v>
      </c>
      <c r="L11" s="91">
        <v>11</v>
      </c>
      <c r="M11" s="91">
        <v>12</v>
      </c>
      <c r="N11" s="91">
        <v>13</v>
      </c>
      <c r="O11" s="91">
        <v>14</v>
      </c>
      <c r="P11" s="91">
        <v>15</v>
      </c>
      <c r="Q11" s="91">
        <v>16</v>
      </c>
      <c r="R11" s="91">
        <v>17</v>
      </c>
    </row>
    <row r="12" spans="2:18" ht="19.5" thickBot="1">
      <c r="B12" s="378" t="s">
        <v>106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80"/>
    </row>
    <row r="13" spans="2:18" ht="19.5" thickBot="1">
      <c r="B13" s="120" t="s">
        <v>23</v>
      </c>
      <c r="C13" s="167"/>
      <c r="D13" s="265">
        <f>'стр.1.1-1.3'!E6</f>
        <v>0</v>
      </c>
      <c r="E13" s="266">
        <f>'стр.2.1'!F11</f>
        <v>0</v>
      </c>
      <c r="F13" s="251">
        <f>E13*3.2/100</f>
        <v>0</v>
      </c>
      <c r="G13" s="165"/>
      <c r="H13" s="266">
        <f>F13*G13</f>
        <v>0</v>
      </c>
      <c r="I13" s="251">
        <f>E13*0.4/100</f>
        <v>0</v>
      </c>
      <c r="J13" s="165"/>
      <c r="K13" s="266">
        <f>I13*J13</f>
        <v>0</v>
      </c>
      <c r="L13" s="251">
        <f>E13*0.1/100</f>
        <v>0</v>
      </c>
      <c r="M13" s="165"/>
      <c r="N13" s="266">
        <f>L13*M13</f>
        <v>0</v>
      </c>
      <c r="O13" s="251">
        <f>E13*0.3/100</f>
        <v>0</v>
      </c>
      <c r="P13" s="165"/>
      <c r="Q13" s="266">
        <f>O13*P13</f>
        <v>0</v>
      </c>
      <c r="R13" s="251">
        <f>(H13+K13+N13+Q13)/1000</f>
        <v>0</v>
      </c>
    </row>
    <row r="14" spans="2:18" ht="19.5" thickBot="1">
      <c r="B14" s="120" t="s">
        <v>27</v>
      </c>
      <c r="C14" s="167"/>
      <c r="D14" s="265">
        <f>'стр.1.1-1.3'!E7</f>
        <v>0</v>
      </c>
      <c r="E14" s="266">
        <f>'стр.2.1'!F12</f>
        <v>0</v>
      </c>
      <c r="F14" s="251">
        <f>E14*3.2/100</f>
        <v>0</v>
      </c>
      <c r="G14" s="165"/>
      <c r="H14" s="266">
        <f>F14*G14</f>
        <v>0</v>
      </c>
      <c r="I14" s="251">
        <f>E14*0.4/100</f>
        <v>0</v>
      </c>
      <c r="J14" s="165"/>
      <c r="K14" s="266">
        <f>I14*J14</f>
        <v>0</v>
      </c>
      <c r="L14" s="251">
        <f>E14*0.1/100</f>
        <v>0</v>
      </c>
      <c r="M14" s="165"/>
      <c r="N14" s="266">
        <f>L14*M14</f>
        <v>0</v>
      </c>
      <c r="O14" s="251">
        <f>E14*0.3/100</f>
        <v>0</v>
      </c>
      <c r="P14" s="165"/>
      <c r="Q14" s="266">
        <f>O14*P14</f>
        <v>0</v>
      </c>
      <c r="R14" s="251">
        <f>(H14+K14+N14+Q14)/1000</f>
        <v>0</v>
      </c>
    </row>
    <row r="15" spans="2:18" ht="19.5" thickBot="1">
      <c r="B15" s="120" t="s">
        <v>28</v>
      </c>
      <c r="C15" s="167"/>
      <c r="D15" s="265">
        <f>'стр.1.1-1.3'!E8</f>
        <v>0</v>
      </c>
      <c r="E15" s="266">
        <f>'стр.2.1'!F13</f>
        <v>0</v>
      </c>
      <c r="F15" s="251">
        <f>E15*3.2/100</f>
        <v>0</v>
      </c>
      <c r="G15" s="165"/>
      <c r="H15" s="266">
        <f>F15*G15</f>
        <v>0</v>
      </c>
      <c r="I15" s="251">
        <f>E15*0.4/100</f>
        <v>0</v>
      </c>
      <c r="J15" s="165"/>
      <c r="K15" s="266">
        <f>I15*J15</f>
        <v>0</v>
      </c>
      <c r="L15" s="251">
        <f>E15*0.1/100</f>
        <v>0</v>
      </c>
      <c r="M15" s="165"/>
      <c r="N15" s="266">
        <f>L15*M15</f>
        <v>0</v>
      </c>
      <c r="O15" s="251">
        <f>E15*0.3/100</f>
        <v>0</v>
      </c>
      <c r="P15" s="165"/>
      <c r="Q15" s="266">
        <f>O15*P15</f>
        <v>0</v>
      </c>
      <c r="R15" s="251">
        <f>(H15+K15+N15+Q15)/1000</f>
        <v>0</v>
      </c>
    </row>
    <row r="16" spans="2:18" ht="19.5" thickBot="1">
      <c r="B16" s="120" t="s">
        <v>31</v>
      </c>
      <c r="C16" s="167"/>
      <c r="D16" s="265">
        <f>'стр.1.1-1.3'!E9</f>
        <v>0</v>
      </c>
      <c r="E16" s="266">
        <f>'стр.2.1'!F14</f>
        <v>0</v>
      </c>
      <c r="F16" s="251">
        <f>E16*3.2/100</f>
        <v>0</v>
      </c>
      <c r="G16" s="165"/>
      <c r="H16" s="266">
        <f>F16*G16</f>
        <v>0</v>
      </c>
      <c r="I16" s="251">
        <f>E16*0.4/100</f>
        <v>0</v>
      </c>
      <c r="J16" s="165"/>
      <c r="K16" s="266">
        <f>I16*J16</f>
        <v>0</v>
      </c>
      <c r="L16" s="251">
        <f>E16*0.1/100</f>
        <v>0</v>
      </c>
      <c r="M16" s="165"/>
      <c r="N16" s="266">
        <f>L16*M16</f>
        <v>0</v>
      </c>
      <c r="O16" s="251">
        <f>E16*0.3/100</f>
        <v>0</v>
      </c>
      <c r="P16" s="165"/>
      <c r="Q16" s="266">
        <f>O16*P16</f>
        <v>0</v>
      </c>
      <c r="R16" s="251">
        <f>(H16+K16+N16+Q16)/1000</f>
        <v>0</v>
      </c>
    </row>
    <row r="17" spans="2:20" ht="19.5" thickBot="1">
      <c r="B17" s="92"/>
      <c r="C17" s="93" t="s">
        <v>199</v>
      </c>
      <c r="D17" s="265">
        <f>SUM(D13:D16)</f>
        <v>0</v>
      </c>
      <c r="E17" s="266">
        <f>SUM(E13:E16)</f>
        <v>0</v>
      </c>
      <c r="F17" s="251">
        <f>SUM(F13:F16)</f>
        <v>0</v>
      </c>
      <c r="G17" s="165"/>
      <c r="H17" s="266">
        <f>SUM(H13:H16)</f>
        <v>0</v>
      </c>
      <c r="I17" s="251">
        <f>SUM(I13:I16)</f>
        <v>0</v>
      </c>
      <c r="J17" s="165"/>
      <c r="K17" s="266">
        <f>SUM(K13:K16)</f>
        <v>0</v>
      </c>
      <c r="L17" s="251">
        <f>SUM(L13:L16)</f>
        <v>0</v>
      </c>
      <c r="M17" s="165"/>
      <c r="N17" s="266">
        <f>SUM(N13:N16)</f>
        <v>0</v>
      </c>
      <c r="O17" s="251">
        <f>SUM(O13:O16)</f>
        <v>0</v>
      </c>
      <c r="P17" s="165"/>
      <c r="Q17" s="266">
        <f>SUM(Q13:Q16)</f>
        <v>0</v>
      </c>
      <c r="R17" s="251">
        <f>SUM(R13:R16)</f>
        <v>0</v>
      </c>
      <c r="S17" s="225">
        <f>(H17+K17+N17+Q17)/1000</f>
        <v>0</v>
      </c>
      <c r="T17" s="109"/>
    </row>
    <row r="18" spans="2:18" ht="19.5" thickBot="1">
      <c r="B18" s="375" t="s">
        <v>331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7"/>
    </row>
    <row r="19" spans="2:18" ht="19.5" thickBot="1">
      <c r="B19" s="71" t="s">
        <v>23</v>
      </c>
      <c r="C19" s="167"/>
      <c r="D19" s="265">
        <f>'стр.1.1-1.3'!F6</f>
        <v>0</v>
      </c>
      <c r="E19" s="267">
        <f>'стр.2.1'!F17</f>
        <v>0</v>
      </c>
      <c r="F19" s="252">
        <f>E19*3.2/100</f>
        <v>0</v>
      </c>
      <c r="G19" s="166"/>
      <c r="H19" s="267">
        <f>F19*G19</f>
        <v>0</v>
      </c>
      <c r="I19" s="252">
        <f>E19*0.4/100</f>
        <v>0</v>
      </c>
      <c r="J19" s="166"/>
      <c r="K19" s="267">
        <f>I19*J19</f>
        <v>0</v>
      </c>
      <c r="L19" s="252">
        <f>E19*0.1/100</f>
        <v>0</v>
      </c>
      <c r="M19" s="166"/>
      <c r="N19" s="267">
        <f>L19*M19</f>
        <v>0</v>
      </c>
      <c r="O19" s="252">
        <f>E19*0.3/100</f>
        <v>0</v>
      </c>
      <c r="P19" s="166"/>
      <c r="Q19" s="267">
        <f>O19*P19</f>
        <v>0</v>
      </c>
      <c r="R19" s="252">
        <f>(H19+K19+N19+Q19)/1000</f>
        <v>0</v>
      </c>
    </row>
    <row r="20" spans="2:18" ht="19.5" thickBot="1">
      <c r="B20" s="71" t="s">
        <v>27</v>
      </c>
      <c r="C20" s="167"/>
      <c r="D20" s="265">
        <f>'стр.1.1-1.3'!F7</f>
        <v>0</v>
      </c>
      <c r="E20" s="267">
        <f>'стр.2.1'!F18</f>
        <v>0</v>
      </c>
      <c r="F20" s="252">
        <f>E20*3.2/100</f>
        <v>0</v>
      </c>
      <c r="G20" s="166"/>
      <c r="H20" s="267">
        <f>F20*G20</f>
        <v>0</v>
      </c>
      <c r="I20" s="252">
        <f>E20*0.4/100</f>
        <v>0</v>
      </c>
      <c r="J20" s="166"/>
      <c r="K20" s="267">
        <f>I20*J20</f>
        <v>0</v>
      </c>
      <c r="L20" s="252">
        <f>E20*0.1/100</f>
        <v>0</v>
      </c>
      <c r="M20" s="166"/>
      <c r="N20" s="267">
        <f>L20*M20</f>
        <v>0</v>
      </c>
      <c r="O20" s="252">
        <f>E20*0.3/100</f>
        <v>0</v>
      </c>
      <c r="P20" s="166"/>
      <c r="Q20" s="267">
        <f>O20*P20</f>
        <v>0</v>
      </c>
      <c r="R20" s="252">
        <f>(H20+K20+N20+Q20)/1000</f>
        <v>0</v>
      </c>
    </row>
    <row r="21" spans="2:18" ht="19.5" thickBot="1">
      <c r="B21" s="71" t="s">
        <v>28</v>
      </c>
      <c r="C21" s="167"/>
      <c r="D21" s="265">
        <f>'стр.1.1-1.3'!F8</f>
        <v>0</v>
      </c>
      <c r="E21" s="267">
        <f>'стр.2.1'!F19</f>
        <v>0</v>
      </c>
      <c r="F21" s="252">
        <f>E21*3.2/100</f>
        <v>0</v>
      </c>
      <c r="G21" s="166"/>
      <c r="H21" s="267">
        <f>F21*G21</f>
        <v>0</v>
      </c>
      <c r="I21" s="252">
        <f>E21*0.4/100</f>
        <v>0</v>
      </c>
      <c r="J21" s="166"/>
      <c r="K21" s="267">
        <f>I21*J21</f>
        <v>0</v>
      </c>
      <c r="L21" s="252">
        <f>E21*0.1/100</f>
        <v>0</v>
      </c>
      <c r="M21" s="166"/>
      <c r="N21" s="267">
        <f>L21*M21</f>
        <v>0</v>
      </c>
      <c r="O21" s="252">
        <f>E21*0.3/100</f>
        <v>0</v>
      </c>
      <c r="P21" s="166"/>
      <c r="Q21" s="267">
        <f>O21*P21</f>
        <v>0</v>
      </c>
      <c r="R21" s="252">
        <f>(H21+K21+N21+Q21)/1000</f>
        <v>0</v>
      </c>
    </row>
    <row r="22" spans="2:18" ht="19.5" thickBot="1">
      <c r="B22" s="71" t="s">
        <v>31</v>
      </c>
      <c r="C22" s="167"/>
      <c r="D22" s="265">
        <f>'стр.1.1-1.3'!F9</f>
        <v>0</v>
      </c>
      <c r="E22" s="267">
        <f>'стр.2.1'!F20</f>
        <v>0</v>
      </c>
      <c r="F22" s="252">
        <f>E22*3.2/100</f>
        <v>0</v>
      </c>
      <c r="G22" s="166"/>
      <c r="H22" s="267">
        <f>F22*G22</f>
        <v>0</v>
      </c>
      <c r="I22" s="252">
        <f>E22*0.4/100</f>
        <v>0</v>
      </c>
      <c r="J22" s="166"/>
      <c r="K22" s="267">
        <f>I22*J22</f>
        <v>0</v>
      </c>
      <c r="L22" s="252">
        <f>E22*0.1/100</f>
        <v>0</v>
      </c>
      <c r="M22" s="166"/>
      <c r="N22" s="267">
        <f>L22*M22</f>
        <v>0</v>
      </c>
      <c r="O22" s="252">
        <f>E22*0.3/100</f>
        <v>0</v>
      </c>
      <c r="P22" s="166"/>
      <c r="Q22" s="267">
        <f>O22*P22</f>
        <v>0</v>
      </c>
      <c r="R22" s="252">
        <f>(H22+K22+N22+Q22)/1000</f>
        <v>0</v>
      </c>
    </row>
    <row r="23" spans="2:20" ht="19.5" thickBot="1">
      <c r="B23" s="92"/>
      <c r="C23" s="93" t="s">
        <v>199</v>
      </c>
      <c r="D23" s="265">
        <f>SUM(D19:D22)</f>
        <v>0</v>
      </c>
      <c r="E23" s="267">
        <f>SUM(E19:E22)</f>
        <v>0</v>
      </c>
      <c r="F23" s="252">
        <f>SUM(F19:F22)</f>
        <v>0</v>
      </c>
      <c r="G23" s="166"/>
      <c r="H23" s="267">
        <f>SUM(H19:H22)</f>
        <v>0</v>
      </c>
      <c r="I23" s="252">
        <f>SUM(I19:I22)</f>
        <v>0</v>
      </c>
      <c r="J23" s="166"/>
      <c r="K23" s="267">
        <f>SUM(K19:K22)</f>
        <v>0</v>
      </c>
      <c r="L23" s="252">
        <f>SUM(L19:L22)</f>
        <v>0</v>
      </c>
      <c r="M23" s="166"/>
      <c r="N23" s="267">
        <f>SUM(N19:N22)</f>
        <v>0</v>
      </c>
      <c r="O23" s="252">
        <f>SUM(O19:O22)</f>
        <v>0</v>
      </c>
      <c r="P23" s="166"/>
      <c r="Q23" s="267">
        <f>SUM(Q19:Q22)</f>
        <v>0</v>
      </c>
      <c r="R23" s="252">
        <f>SUM(R19:R22)</f>
        <v>0</v>
      </c>
      <c r="S23" s="226">
        <f>(H23+K23+N23+Q23)/1000</f>
        <v>0</v>
      </c>
      <c r="T23" s="109"/>
    </row>
    <row r="24" spans="2:18" ht="19.5" thickBot="1">
      <c r="B24" s="375" t="s">
        <v>107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7"/>
    </row>
    <row r="25" spans="2:18" ht="19.5" thickBot="1">
      <c r="B25" s="100" t="s">
        <v>23</v>
      </c>
      <c r="C25" s="167"/>
      <c r="D25" s="265">
        <f>'стр.1.1-1.3'!G6</f>
        <v>0</v>
      </c>
      <c r="E25" s="267">
        <f>'стр.2.1'!F17</f>
        <v>0</v>
      </c>
      <c r="F25" s="252">
        <f>E25*3.2/100</f>
        <v>0</v>
      </c>
      <c r="G25" s="166"/>
      <c r="H25" s="267">
        <f>F25*G25</f>
        <v>0</v>
      </c>
      <c r="I25" s="252">
        <f>E25*0.4/100</f>
        <v>0</v>
      </c>
      <c r="J25" s="166"/>
      <c r="K25" s="267">
        <f>I25*J25</f>
        <v>0</v>
      </c>
      <c r="L25" s="252">
        <f>E25*0.1/100</f>
        <v>0</v>
      </c>
      <c r="M25" s="166"/>
      <c r="N25" s="267">
        <f>L25*M25</f>
        <v>0</v>
      </c>
      <c r="O25" s="252">
        <f>E25*0.3/100</f>
        <v>0</v>
      </c>
      <c r="P25" s="166"/>
      <c r="Q25" s="267">
        <f>O25*P25</f>
        <v>0</v>
      </c>
      <c r="R25" s="252">
        <f>(H25+K25+N25+Q25)/1000</f>
        <v>0</v>
      </c>
    </row>
    <row r="26" spans="2:18" ht="19.5" thickBot="1">
      <c r="B26" s="100" t="s">
        <v>27</v>
      </c>
      <c r="C26" s="167"/>
      <c r="D26" s="265">
        <f>'стр.1.1-1.3'!G7</f>
        <v>0</v>
      </c>
      <c r="E26" s="267">
        <f>'стр.2.1'!F18</f>
        <v>0</v>
      </c>
      <c r="F26" s="252">
        <f>E26*3.2/100</f>
        <v>0</v>
      </c>
      <c r="G26" s="166"/>
      <c r="H26" s="267">
        <f>F26*G26</f>
        <v>0</v>
      </c>
      <c r="I26" s="252">
        <f>E26*0.4/100</f>
        <v>0</v>
      </c>
      <c r="J26" s="166"/>
      <c r="K26" s="267">
        <f>I26*J26</f>
        <v>0</v>
      </c>
      <c r="L26" s="252">
        <f>E26*0.1/100</f>
        <v>0</v>
      </c>
      <c r="M26" s="166"/>
      <c r="N26" s="267">
        <f>L26*M26</f>
        <v>0</v>
      </c>
      <c r="O26" s="252">
        <f>E26*0.1/100</f>
        <v>0</v>
      </c>
      <c r="P26" s="166"/>
      <c r="Q26" s="267">
        <f>O26*P26</f>
        <v>0</v>
      </c>
      <c r="R26" s="252">
        <f>(H26+K26+N26+Q26)/1000</f>
        <v>0</v>
      </c>
    </row>
    <row r="27" spans="2:18" ht="19.5" thickBot="1">
      <c r="B27" s="100" t="s">
        <v>28</v>
      </c>
      <c r="C27" s="167"/>
      <c r="D27" s="265">
        <f>'стр.1.1-1.3'!G8</f>
        <v>0</v>
      </c>
      <c r="E27" s="267">
        <f>'стр.2.1'!F19</f>
        <v>0</v>
      </c>
      <c r="F27" s="252">
        <f>E27*3.2/100</f>
        <v>0</v>
      </c>
      <c r="G27" s="166"/>
      <c r="H27" s="267">
        <f>F27*G27</f>
        <v>0</v>
      </c>
      <c r="I27" s="252">
        <f>E27*0.4/100</f>
        <v>0</v>
      </c>
      <c r="J27" s="166"/>
      <c r="K27" s="267">
        <f>I27*J27</f>
        <v>0</v>
      </c>
      <c r="L27" s="252">
        <f>E27*0.1/100</f>
        <v>0</v>
      </c>
      <c r="M27" s="166"/>
      <c r="N27" s="267">
        <f>L27*M27</f>
        <v>0</v>
      </c>
      <c r="O27" s="252">
        <f>E27*0.1/100</f>
        <v>0</v>
      </c>
      <c r="P27" s="166"/>
      <c r="Q27" s="267">
        <f>O27*P27</f>
        <v>0</v>
      </c>
      <c r="R27" s="252">
        <f>(H27+K27+N27+Q27)/1000</f>
        <v>0</v>
      </c>
    </row>
    <row r="28" spans="2:18" ht="19.5" thickBot="1">
      <c r="B28" s="100" t="s">
        <v>31</v>
      </c>
      <c r="C28" s="167"/>
      <c r="D28" s="265">
        <f>'стр.1.1-1.3'!G9</f>
        <v>0</v>
      </c>
      <c r="E28" s="267">
        <f>'стр.2.1'!F20</f>
        <v>0</v>
      </c>
      <c r="F28" s="252">
        <f>E28*3.2/100</f>
        <v>0</v>
      </c>
      <c r="G28" s="166"/>
      <c r="H28" s="267">
        <f>F28*G28</f>
        <v>0</v>
      </c>
      <c r="I28" s="252">
        <f>E28*0.4/100</f>
        <v>0</v>
      </c>
      <c r="J28" s="166"/>
      <c r="K28" s="267">
        <f>I28*J28</f>
        <v>0</v>
      </c>
      <c r="L28" s="252">
        <f>E28*0.1/100</f>
        <v>0</v>
      </c>
      <c r="M28" s="166"/>
      <c r="N28" s="267">
        <f>L28*M28</f>
        <v>0</v>
      </c>
      <c r="O28" s="252">
        <f>E28*0.1/100</f>
        <v>0</v>
      </c>
      <c r="P28" s="166"/>
      <c r="Q28" s="267">
        <f>O28*P28</f>
        <v>0</v>
      </c>
      <c r="R28" s="252">
        <f>(H28+K28+N28+Q28)/1000</f>
        <v>0</v>
      </c>
    </row>
    <row r="29" spans="2:20" ht="19.5" thickBot="1">
      <c r="B29" s="92"/>
      <c r="C29" s="93" t="s">
        <v>199</v>
      </c>
      <c r="D29" s="265">
        <f>SUM(D25:D28)</f>
        <v>0</v>
      </c>
      <c r="E29" s="267">
        <f>SUM(E25:E28)</f>
        <v>0</v>
      </c>
      <c r="F29" s="252">
        <f>SUM(F25:F28)</f>
        <v>0</v>
      </c>
      <c r="G29" s="166"/>
      <c r="H29" s="267">
        <f>SUM(H25:H28)</f>
        <v>0</v>
      </c>
      <c r="I29" s="252">
        <f>SUM(I25:I28)</f>
        <v>0</v>
      </c>
      <c r="J29" s="166"/>
      <c r="K29" s="267">
        <f>SUM(K25:K28)</f>
        <v>0</v>
      </c>
      <c r="L29" s="252">
        <f>SUM(L25:L28)</f>
        <v>0</v>
      </c>
      <c r="M29" s="166"/>
      <c r="N29" s="267">
        <f>SUM(N25:N28)</f>
        <v>0</v>
      </c>
      <c r="O29" s="252">
        <f>SUM(O25:O28)</f>
        <v>0</v>
      </c>
      <c r="P29" s="166"/>
      <c r="Q29" s="267">
        <f>SUM(Q25:Q28)</f>
        <v>0</v>
      </c>
      <c r="R29" s="252">
        <f>SUM(R25:R28)</f>
        <v>0</v>
      </c>
      <c r="S29" s="226">
        <f>(H29+K29+N29+Q29)/1000</f>
        <v>0</v>
      </c>
      <c r="T29" s="109"/>
    </row>
    <row r="30" spans="2:18" ht="18.75">
      <c r="B30" s="103"/>
      <c r="C30" s="103"/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2:6" ht="19.5" thickBot="1">
      <c r="B31" s="85" t="str">
        <f>'Перемещение '!A21</f>
        <v>2.5.2</v>
      </c>
      <c r="C31" s="85" t="str">
        <f>'Перемещение '!B21</f>
        <v>Восстановление износа и ремонт автомобильных шин</v>
      </c>
      <c r="D31" s="85"/>
      <c r="E31" s="85"/>
      <c r="F31" s="85"/>
    </row>
    <row r="32" spans="2:11" ht="38.25" thickBot="1">
      <c r="B32" s="129" t="s">
        <v>196</v>
      </c>
      <c r="C32" s="130" t="s">
        <v>120</v>
      </c>
      <c r="D32" s="130" t="s">
        <v>266</v>
      </c>
      <c r="E32" s="130" t="s">
        <v>202</v>
      </c>
      <c r="F32" s="130" t="s">
        <v>203</v>
      </c>
      <c r="G32" s="130" t="s">
        <v>204</v>
      </c>
      <c r="H32" s="130" t="s">
        <v>215</v>
      </c>
      <c r="I32" s="130" t="s">
        <v>216</v>
      </c>
      <c r="J32" s="224" t="s">
        <v>308</v>
      </c>
      <c r="K32" s="109"/>
    </row>
    <row r="33" spans="2:9" ht="19.5" thickBot="1">
      <c r="B33" s="145">
        <v>1</v>
      </c>
      <c r="C33" s="108">
        <v>2</v>
      </c>
      <c r="D33" s="108">
        <v>2</v>
      </c>
      <c r="E33" s="108">
        <v>3</v>
      </c>
      <c r="F33" s="108">
        <v>4</v>
      </c>
      <c r="G33" s="108">
        <v>5</v>
      </c>
      <c r="H33" s="108">
        <v>6</v>
      </c>
      <c r="I33" s="108">
        <v>7</v>
      </c>
    </row>
    <row r="34" spans="2:9" ht="19.5" thickBot="1">
      <c r="B34" s="381" t="s">
        <v>106</v>
      </c>
      <c r="C34" s="382"/>
      <c r="D34" s="383"/>
      <c r="E34" s="382"/>
      <c r="F34" s="382"/>
      <c r="G34" s="382"/>
      <c r="H34" s="382"/>
      <c r="I34" s="384"/>
    </row>
    <row r="35" spans="2:9" ht="19.5" thickBot="1">
      <c r="B35" s="120" t="s">
        <v>23</v>
      </c>
      <c r="C35" s="177"/>
      <c r="D35" s="255">
        <f>'стр.1.1-1.3'!E6</f>
        <v>0</v>
      </c>
      <c r="E35" s="296">
        <v>60</v>
      </c>
      <c r="F35" s="152">
        <v>6</v>
      </c>
      <c r="G35" s="152">
        <f>D35/(E35*1000)*F35</f>
        <v>0</v>
      </c>
      <c r="H35" s="259"/>
      <c r="I35" s="239">
        <f>G35*H35/1000</f>
        <v>0</v>
      </c>
    </row>
    <row r="36" spans="2:9" ht="19.5" thickBot="1">
      <c r="B36" s="120" t="s">
        <v>27</v>
      </c>
      <c r="C36" s="178"/>
      <c r="D36" s="256">
        <f>'стр.1.1-1.3'!E7</f>
        <v>0</v>
      </c>
      <c r="E36" s="296">
        <v>60</v>
      </c>
      <c r="F36" s="152">
        <v>6</v>
      </c>
      <c r="G36" s="152">
        <f>IF(D36=0,0,D36/(E36*1000)*F36)</f>
        <v>0</v>
      </c>
      <c r="H36" s="259"/>
      <c r="I36" s="239">
        <f>G36*H36/1000</f>
        <v>0</v>
      </c>
    </row>
    <row r="37" spans="2:9" ht="19.5" thickBot="1">
      <c r="B37" s="120" t="s">
        <v>28</v>
      </c>
      <c r="C37" s="178"/>
      <c r="D37" s="256">
        <f>'стр.1.1-1.3'!E8</f>
        <v>0</v>
      </c>
      <c r="E37" s="296">
        <v>60</v>
      </c>
      <c r="F37" s="152">
        <v>6</v>
      </c>
      <c r="G37" s="152">
        <f>IF(D37=0,0,D37/(E37*1000)*F37)</f>
        <v>0</v>
      </c>
      <c r="H37" s="259"/>
      <c r="I37" s="239">
        <f>G37*H37/1000</f>
        <v>0</v>
      </c>
    </row>
    <row r="38" spans="2:9" ht="19.5" thickBot="1">
      <c r="B38" s="120" t="s">
        <v>31</v>
      </c>
      <c r="C38" s="178"/>
      <c r="D38" s="256">
        <f>'стр.1.1-1.3'!E9</f>
        <v>0</v>
      </c>
      <c r="E38" s="296">
        <v>60</v>
      </c>
      <c r="F38" s="152">
        <v>6</v>
      </c>
      <c r="G38" s="152">
        <f>IF(D38=0,0,D38/(E38*1000)*F38)</f>
        <v>0</v>
      </c>
      <c r="H38" s="259"/>
      <c r="I38" s="239">
        <f>G38*H38/1000</f>
        <v>0</v>
      </c>
    </row>
    <row r="39" spans="1:9" ht="19.5" customHeight="1" thickBot="1">
      <c r="A39" s="109"/>
      <c r="B39" s="148"/>
      <c r="C39" s="149" t="s">
        <v>123</v>
      </c>
      <c r="D39" s="255">
        <f>SUM(D35:D38)</f>
        <v>0</v>
      </c>
      <c r="E39" s="74"/>
      <c r="F39" s="295"/>
      <c r="G39" s="152">
        <f>SUM(G35:G38)</f>
        <v>0</v>
      </c>
      <c r="H39" s="237"/>
      <c r="I39" s="239">
        <f>SUM(I35:I38)</f>
        <v>0</v>
      </c>
    </row>
    <row r="40" spans="2:9" ht="19.5" thickBot="1">
      <c r="B40" s="388" t="s">
        <v>331</v>
      </c>
      <c r="C40" s="389"/>
      <c r="D40" s="389"/>
      <c r="E40" s="389"/>
      <c r="F40" s="389"/>
      <c r="G40" s="389"/>
      <c r="H40" s="389"/>
      <c r="I40" s="390"/>
    </row>
    <row r="41" spans="2:9" ht="19.5" thickBot="1">
      <c r="B41" s="71" t="s">
        <v>23</v>
      </c>
      <c r="C41" s="179"/>
      <c r="D41" s="257">
        <f>'стр.1.1-1.3'!F6</f>
        <v>0</v>
      </c>
      <c r="E41" s="158">
        <v>60</v>
      </c>
      <c r="F41" s="158">
        <v>6</v>
      </c>
      <c r="G41" s="158">
        <f>D41/(E41*1000)*F41</f>
        <v>0</v>
      </c>
      <c r="H41" s="260"/>
      <c r="I41" s="253">
        <f>G41*H41/1000</f>
        <v>0</v>
      </c>
    </row>
    <row r="42" spans="2:9" ht="19.5" thickBot="1">
      <c r="B42" s="71" t="s">
        <v>27</v>
      </c>
      <c r="C42" s="180"/>
      <c r="D42" s="257">
        <f>'стр.1.1-1.3'!F7</f>
        <v>0</v>
      </c>
      <c r="E42" s="158">
        <v>60</v>
      </c>
      <c r="F42" s="158">
        <v>6</v>
      </c>
      <c r="G42" s="158">
        <f>IF(D42=0,0,D42/(E42*1000)*F42)</f>
        <v>0</v>
      </c>
      <c r="H42" s="260"/>
      <c r="I42" s="253">
        <f>G42*H42/1000</f>
        <v>0</v>
      </c>
    </row>
    <row r="43" spans="2:9" ht="19.5" thickBot="1">
      <c r="B43" s="71" t="s">
        <v>28</v>
      </c>
      <c r="C43" s="180"/>
      <c r="D43" s="257">
        <f>'стр.1.1-1.3'!F8</f>
        <v>0</v>
      </c>
      <c r="E43" s="158">
        <v>60</v>
      </c>
      <c r="F43" s="158">
        <v>6</v>
      </c>
      <c r="G43" s="158">
        <f>IF(D43=0,0,D43/(E43*1000)*F43)</f>
        <v>0</v>
      </c>
      <c r="H43" s="260"/>
      <c r="I43" s="253">
        <f>G43*H43/1000</f>
        <v>0</v>
      </c>
    </row>
    <row r="44" spans="2:9" ht="19.5" thickBot="1">
      <c r="B44" s="71" t="s">
        <v>31</v>
      </c>
      <c r="C44" s="180"/>
      <c r="D44" s="257">
        <f>'стр.1.1-1.3'!F9</f>
        <v>0</v>
      </c>
      <c r="E44" s="158">
        <v>60</v>
      </c>
      <c r="F44" s="158">
        <v>6</v>
      </c>
      <c r="G44" s="158">
        <f>IF(D44=0,0,D44/(E44*1000)*F44)</f>
        <v>0</v>
      </c>
      <c r="H44" s="260"/>
      <c r="I44" s="253">
        <f>G44*H44/1000</f>
        <v>0</v>
      </c>
    </row>
    <row r="45" spans="1:9" ht="19.5" customHeight="1" thickBot="1">
      <c r="A45" s="105"/>
      <c r="B45" s="106"/>
      <c r="C45" s="107" t="s">
        <v>123</v>
      </c>
      <c r="D45" s="258">
        <f>SUM(D41:D44)</f>
        <v>0</v>
      </c>
      <c r="E45" s="108"/>
      <c r="F45" s="297"/>
      <c r="G45" s="157">
        <f>SUM(G41:G44)</f>
        <v>0</v>
      </c>
      <c r="H45" s="261"/>
      <c r="I45" s="254">
        <f>SUM(I41:I44)</f>
        <v>0</v>
      </c>
    </row>
    <row r="46" spans="2:9" ht="19.5" thickBot="1">
      <c r="B46" s="358" t="s">
        <v>107</v>
      </c>
      <c r="C46" s="359"/>
      <c r="D46" s="359"/>
      <c r="E46" s="359"/>
      <c r="F46" s="359"/>
      <c r="G46" s="359"/>
      <c r="H46" s="359"/>
      <c r="I46" s="360"/>
    </row>
    <row r="47" spans="2:9" ht="19.5" thickBot="1">
      <c r="B47" s="100" t="s">
        <v>23</v>
      </c>
      <c r="C47" s="180"/>
      <c r="D47" s="257">
        <f>'стр.1.1-1.3'!G6</f>
        <v>0</v>
      </c>
      <c r="E47" s="158">
        <v>60</v>
      </c>
      <c r="F47" s="158">
        <v>6</v>
      </c>
      <c r="G47" s="158">
        <f>D47/(E47*1000)*F47</f>
        <v>0</v>
      </c>
      <c r="H47" s="260"/>
      <c r="I47" s="253">
        <f>G47*H47/1000</f>
        <v>0</v>
      </c>
    </row>
    <row r="48" spans="2:9" ht="19.5" thickBot="1">
      <c r="B48" s="100" t="s">
        <v>27</v>
      </c>
      <c r="C48" s="180"/>
      <c r="D48" s="257">
        <f>'стр.1.1-1.3'!G7</f>
        <v>0</v>
      </c>
      <c r="E48" s="158">
        <v>60</v>
      </c>
      <c r="F48" s="158">
        <v>6</v>
      </c>
      <c r="G48" s="158">
        <f>IF(D48=0,0,D48/(E48*1000)*F48)</f>
        <v>0</v>
      </c>
      <c r="H48" s="260"/>
      <c r="I48" s="253">
        <f>G48*H48/1000</f>
        <v>0</v>
      </c>
    </row>
    <row r="49" spans="2:9" ht="19.5" thickBot="1">
      <c r="B49" s="100" t="s">
        <v>28</v>
      </c>
      <c r="C49" s="180"/>
      <c r="D49" s="257">
        <f>'стр.1.1-1.3'!G8</f>
        <v>0</v>
      </c>
      <c r="E49" s="158">
        <v>60</v>
      </c>
      <c r="F49" s="158">
        <v>6</v>
      </c>
      <c r="G49" s="158">
        <f>IF(D49=0,0,D49/(E49*1000)*F49)</f>
        <v>0</v>
      </c>
      <c r="H49" s="260"/>
      <c r="I49" s="253">
        <f>G49*H49/1000</f>
        <v>0</v>
      </c>
    </row>
    <row r="50" spans="2:9" ht="19.5" thickBot="1">
      <c r="B50" s="100" t="s">
        <v>31</v>
      </c>
      <c r="C50" s="180"/>
      <c r="D50" s="257">
        <f>'стр.1.1-1.3'!G9</f>
        <v>0</v>
      </c>
      <c r="E50" s="158">
        <v>60</v>
      </c>
      <c r="F50" s="158">
        <v>6</v>
      </c>
      <c r="G50" s="158">
        <f>IF(D50=0,0,D50/(E50*1000)*F50)</f>
        <v>0</v>
      </c>
      <c r="H50" s="260"/>
      <c r="I50" s="253">
        <f>G50*H50/1000</f>
        <v>0</v>
      </c>
    </row>
    <row r="51" spans="2:9" ht="19.5" thickBot="1">
      <c r="B51" s="95"/>
      <c r="C51" s="96" t="s">
        <v>123</v>
      </c>
      <c r="D51" s="257">
        <f>SUM(D47:D50)</f>
        <v>0</v>
      </c>
      <c r="E51" s="94"/>
      <c r="F51" s="298"/>
      <c r="G51" s="158">
        <f>SUM(G47:G50)</f>
        <v>0</v>
      </c>
      <c r="H51" s="262"/>
      <c r="I51" s="253">
        <f>SUM(I47:I50)</f>
        <v>0</v>
      </c>
    </row>
    <row r="52" spans="2:9" ht="18.75">
      <c r="B52" s="97"/>
      <c r="C52" s="98"/>
      <c r="D52" s="98"/>
      <c r="E52" s="99"/>
      <c r="F52" s="99"/>
      <c r="G52" s="99"/>
      <c r="H52" s="99"/>
      <c r="I52" s="99"/>
    </row>
    <row r="53" spans="2:4" ht="19.5" thickBot="1">
      <c r="B53" s="85" t="str">
        <f>'Перемещение '!A22</f>
        <v>2.5.3</v>
      </c>
      <c r="C53" s="85" t="str">
        <f>'Перемещение '!B22</f>
        <v>ТО и ремонт</v>
      </c>
      <c r="D53" s="85"/>
    </row>
    <row r="54" spans="2:8" ht="38.25" thickBot="1">
      <c r="B54" s="308" t="s">
        <v>119</v>
      </c>
      <c r="C54" s="306" t="s">
        <v>143</v>
      </c>
      <c r="D54" s="364" t="s">
        <v>266</v>
      </c>
      <c r="E54" s="322" t="s">
        <v>146</v>
      </c>
      <c r="F54" s="392" t="s">
        <v>285</v>
      </c>
      <c r="G54" s="357" t="s">
        <v>308</v>
      </c>
      <c r="H54" s="387"/>
    </row>
    <row r="55" spans="2:8" ht="19.5" thickBot="1">
      <c r="B55" s="309"/>
      <c r="C55" s="307" t="s">
        <v>144</v>
      </c>
      <c r="D55" s="391"/>
      <c r="E55" s="99" t="s">
        <v>284</v>
      </c>
      <c r="F55" s="392"/>
      <c r="G55" s="357"/>
      <c r="H55" s="387"/>
    </row>
    <row r="56" spans="2:8" ht="19.5" thickBot="1">
      <c r="B56" s="312"/>
      <c r="C56" s="72" t="s">
        <v>145</v>
      </c>
      <c r="D56" s="365"/>
      <c r="E56" s="323" t="s">
        <v>133</v>
      </c>
      <c r="F56" s="392"/>
      <c r="G56" s="357"/>
      <c r="H56" s="387"/>
    </row>
    <row r="57" spans="2:8" ht="19.5" customHeight="1" thickBot="1">
      <c r="B57" s="71">
        <v>1</v>
      </c>
      <c r="C57" s="72">
        <v>2</v>
      </c>
      <c r="D57" s="72">
        <v>3</v>
      </c>
      <c r="E57" s="138">
        <v>4</v>
      </c>
      <c r="F57" s="110">
        <v>5</v>
      </c>
      <c r="G57" s="357"/>
      <c r="H57" s="99"/>
    </row>
    <row r="58" spans="2:8" ht="19.5" customHeight="1" thickBot="1">
      <c r="B58" s="361" t="s">
        <v>265</v>
      </c>
      <c r="C58" s="362"/>
      <c r="D58" s="362"/>
      <c r="E58" s="362"/>
      <c r="F58" s="363"/>
      <c r="G58" s="169"/>
      <c r="H58" s="169"/>
    </row>
    <row r="59" spans="2:8" ht="19.5" customHeight="1" thickBot="1">
      <c r="B59" s="120" t="s">
        <v>23</v>
      </c>
      <c r="C59" s="160"/>
      <c r="D59" s="235">
        <f>'стр.1.1-1.3'!E6</f>
        <v>0</v>
      </c>
      <c r="E59" s="263"/>
      <c r="F59" s="239">
        <f>D59*E59/1000</f>
        <v>0</v>
      </c>
      <c r="G59" s="170"/>
      <c r="H59" s="170"/>
    </row>
    <row r="60" spans="2:8" ht="19.5" customHeight="1" thickBot="1">
      <c r="B60" s="120" t="s">
        <v>27</v>
      </c>
      <c r="C60" s="160"/>
      <c r="D60" s="235">
        <f>'стр.1.1-1.3'!E7</f>
        <v>0</v>
      </c>
      <c r="E60" s="263"/>
      <c r="F60" s="239">
        <f>D60*E60/1000</f>
        <v>0</v>
      </c>
      <c r="G60" s="170"/>
      <c r="H60" s="170"/>
    </row>
    <row r="61" spans="2:8" ht="19.5" customHeight="1" thickBot="1">
      <c r="B61" s="120" t="s">
        <v>28</v>
      </c>
      <c r="C61" s="160"/>
      <c r="D61" s="235">
        <f>'стр.1.1-1.3'!E8</f>
        <v>0</v>
      </c>
      <c r="E61" s="263"/>
      <c r="F61" s="239">
        <f>D61*E61/1000</f>
        <v>0</v>
      </c>
      <c r="G61" s="170"/>
      <c r="H61" s="170"/>
    </row>
    <row r="62" spans="2:8" ht="19.5" customHeight="1" thickBot="1">
      <c r="B62" s="120" t="s">
        <v>31</v>
      </c>
      <c r="C62" s="160"/>
      <c r="D62" s="235">
        <f>'стр.1.1-1.3'!E9</f>
        <v>0</v>
      </c>
      <c r="E62" s="263"/>
      <c r="F62" s="239">
        <f>D62*E62/1000</f>
        <v>0</v>
      </c>
      <c r="G62" s="170"/>
      <c r="H62" s="170"/>
    </row>
    <row r="63" spans="2:8" ht="19.5" customHeight="1" thickBot="1">
      <c r="B63" s="120"/>
      <c r="C63" s="75" t="s">
        <v>123</v>
      </c>
      <c r="D63" s="235">
        <f>'стр.1.1-1.3'!E10</f>
        <v>0</v>
      </c>
      <c r="E63" s="264"/>
      <c r="F63" s="239">
        <f>SUM(F59:F62)</f>
        <v>0</v>
      </c>
      <c r="G63" s="170"/>
      <c r="H63" s="170"/>
    </row>
    <row r="64" spans="2:8" ht="19.5" customHeight="1" thickBot="1">
      <c r="B64" s="358" t="s">
        <v>331</v>
      </c>
      <c r="C64" s="359"/>
      <c r="D64" s="359"/>
      <c r="E64" s="359"/>
      <c r="F64" s="360"/>
      <c r="G64" s="171"/>
      <c r="H64" s="171"/>
    </row>
    <row r="65" spans="2:8" ht="19.5" thickBot="1">
      <c r="B65" s="71" t="s">
        <v>23</v>
      </c>
      <c r="C65" s="160"/>
      <c r="D65" s="235">
        <f>'стр.1.1-1.3'!F6</f>
        <v>0</v>
      </c>
      <c r="E65" s="263"/>
      <c r="F65" s="239">
        <f>D65*E65/1000</f>
        <v>0</v>
      </c>
      <c r="G65" s="170"/>
      <c r="H65" s="170"/>
    </row>
    <row r="66" spans="2:8" ht="19.5" thickBot="1">
      <c r="B66" s="71" t="s">
        <v>27</v>
      </c>
      <c r="C66" s="160"/>
      <c r="D66" s="235">
        <f>'стр.1.1-1.3'!F7</f>
        <v>0</v>
      </c>
      <c r="E66" s="263"/>
      <c r="F66" s="239">
        <f>D66*E66/1000</f>
        <v>0</v>
      </c>
      <c r="G66" s="170"/>
      <c r="H66" s="170"/>
    </row>
    <row r="67" spans="2:8" ht="19.5" thickBot="1">
      <c r="B67" s="71" t="s">
        <v>28</v>
      </c>
      <c r="C67" s="160"/>
      <c r="D67" s="235">
        <f>'стр.1.1-1.3'!F8</f>
        <v>0</v>
      </c>
      <c r="E67" s="263"/>
      <c r="F67" s="239">
        <f>D67*E67/1000</f>
        <v>0</v>
      </c>
      <c r="G67" s="170"/>
      <c r="H67" s="170"/>
    </row>
    <row r="68" spans="2:8" ht="19.5" thickBot="1">
      <c r="B68" s="71" t="s">
        <v>31</v>
      </c>
      <c r="C68" s="160"/>
      <c r="D68" s="235">
        <f>'стр.1.1-1.3'!F9</f>
        <v>0</v>
      </c>
      <c r="E68" s="263"/>
      <c r="F68" s="239">
        <f>D68*E68/1000</f>
        <v>0</v>
      </c>
      <c r="G68" s="170"/>
      <c r="H68" s="170"/>
    </row>
    <row r="69" spans="2:8" ht="19.5" customHeight="1" thickBot="1">
      <c r="B69" s="71"/>
      <c r="C69" s="75" t="s">
        <v>123</v>
      </c>
      <c r="D69" s="235">
        <f>'стр.1.1-1.3'!F10</f>
        <v>0</v>
      </c>
      <c r="E69" s="264"/>
      <c r="F69" s="239">
        <f>SUM(F65:F68)</f>
        <v>0</v>
      </c>
      <c r="G69" s="170"/>
      <c r="H69" s="170"/>
    </row>
    <row r="70" spans="2:8" ht="19.5" customHeight="1" thickBot="1">
      <c r="B70" s="358" t="s">
        <v>332</v>
      </c>
      <c r="C70" s="359"/>
      <c r="D70" s="359"/>
      <c r="E70" s="359"/>
      <c r="F70" s="360"/>
      <c r="G70" s="171"/>
      <c r="H70" s="171"/>
    </row>
    <row r="71" spans="2:8" ht="19.5" thickBot="1">
      <c r="B71" s="100" t="s">
        <v>23</v>
      </c>
      <c r="C71" s="160"/>
      <c r="D71" s="235">
        <f>'стр.1.1-1.3'!G6</f>
        <v>0</v>
      </c>
      <c r="E71" s="263"/>
      <c r="F71" s="239">
        <f>D71*E71/1000</f>
        <v>0</v>
      </c>
      <c r="G71" s="170"/>
      <c r="H71" s="170"/>
    </row>
    <row r="72" spans="2:8" ht="19.5" thickBot="1">
      <c r="B72" s="100" t="s">
        <v>27</v>
      </c>
      <c r="C72" s="160"/>
      <c r="D72" s="235">
        <f>'стр.1.1-1.3'!G7</f>
        <v>0</v>
      </c>
      <c r="E72" s="263"/>
      <c r="F72" s="239">
        <f>D72*E72/1000</f>
        <v>0</v>
      </c>
      <c r="G72" s="170"/>
      <c r="H72" s="170"/>
    </row>
    <row r="73" spans="2:8" ht="19.5" thickBot="1">
      <c r="B73" s="100" t="s">
        <v>28</v>
      </c>
      <c r="C73" s="160"/>
      <c r="D73" s="235">
        <f>'стр.1.1-1.3'!G8</f>
        <v>0</v>
      </c>
      <c r="E73" s="263"/>
      <c r="F73" s="239">
        <f>D73*E73/1000</f>
        <v>0</v>
      </c>
      <c r="G73" s="170"/>
      <c r="H73" s="170"/>
    </row>
    <row r="74" spans="2:8" ht="19.5" thickBot="1">
      <c r="B74" s="100" t="s">
        <v>31</v>
      </c>
      <c r="C74" s="160"/>
      <c r="D74" s="235">
        <f>'стр.1.1-1.3'!G9</f>
        <v>0</v>
      </c>
      <c r="E74" s="263"/>
      <c r="F74" s="239">
        <f>D74*E74/1000</f>
        <v>0</v>
      </c>
      <c r="G74" s="170"/>
      <c r="H74" s="170"/>
    </row>
    <row r="75" spans="2:8" ht="19.5" thickBot="1">
      <c r="B75" s="100"/>
      <c r="C75" s="75" t="s">
        <v>123</v>
      </c>
      <c r="D75" s="235">
        <f>'стр.1.1-1.3'!G10</f>
        <v>0</v>
      </c>
      <c r="E75" s="264"/>
      <c r="F75" s="239">
        <f>SUM(F71:F74)</f>
        <v>0</v>
      </c>
      <c r="G75" s="170"/>
      <c r="H75" s="170"/>
    </row>
    <row r="77" spans="1:7" ht="18.75">
      <c r="A77" s="121" t="s">
        <v>291</v>
      </c>
      <c r="B77" s="115"/>
      <c r="C77" s="114"/>
      <c r="D77" s="114"/>
      <c r="E77" s="114"/>
      <c r="F77" s="114"/>
      <c r="G77" s="114"/>
    </row>
  </sheetData>
  <sheetProtection/>
  <mergeCells count="23">
    <mergeCell ref="D54:D56"/>
    <mergeCell ref="F54:F56"/>
    <mergeCell ref="B58:F58"/>
    <mergeCell ref="B64:F64"/>
    <mergeCell ref="B70:F70"/>
    <mergeCell ref="G54:G57"/>
    <mergeCell ref="B34:I34"/>
    <mergeCell ref="R9:R10"/>
    <mergeCell ref="I9:K9"/>
    <mergeCell ref="H54:H56"/>
    <mergeCell ref="B9:B10"/>
    <mergeCell ref="D9:D10"/>
    <mergeCell ref="B24:R24"/>
    <mergeCell ref="B40:I40"/>
    <mergeCell ref="B46:I46"/>
    <mergeCell ref="C9:C10"/>
    <mergeCell ref="T9:T10"/>
    <mergeCell ref="E9:E10"/>
    <mergeCell ref="F9:H9"/>
    <mergeCell ref="L9:N9"/>
    <mergeCell ref="O9:Q9"/>
    <mergeCell ref="B18:R18"/>
    <mergeCell ref="B12:R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T29"/>
  <sheetViews>
    <sheetView zoomScalePageLayoutView="0" workbookViewId="0" topLeftCell="A13">
      <selection activeCell="G14" sqref="G14"/>
    </sheetView>
  </sheetViews>
  <sheetFormatPr defaultColWidth="9.140625" defaultRowHeight="15"/>
  <cols>
    <col min="4" max="4" width="31.140625" style="0" customWidth="1"/>
    <col min="5" max="5" width="24.7109375" style="0" customWidth="1"/>
    <col min="6" max="6" width="18.140625" style="0" customWidth="1"/>
    <col min="7" max="7" width="26.8515625" style="0" customWidth="1"/>
    <col min="8" max="8" width="20.8515625" style="0" customWidth="1"/>
  </cols>
  <sheetData>
    <row r="1" spans="5:9" ht="18.75">
      <c r="E1" s="182" t="s">
        <v>288</v>
      </c>
      <c r="F1" s="190"/>
      <c r="G1" s="190"/>
      <c r="H1" s="191"/>
      <c r="I1" s="191"/>
    </row>
    <row r="2" spans="1:20" ht="18.75">
      <c r="A2" s="85" t="str">
        <f>'Перемещение '!A23</f>
        <v>2.6.</v>
      </c>
      <c r="B2" s="85" t="str">
        <f>'Перемещение '!B23</f>
        <v>Обязательное страхование</v>
      </c>
      <c r="C2" s="87"/>
      <c r="D2" s="87"/>
      <c r="E2" s="86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2:20" ht="15.75">
      <c r="B3" s="54"/>
      <c r="C3" s="64" t="s">
        <v>171</v>
      </c>
      <c r="D3" s="6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2:20" ht="15">
      <c r="B4" s="54"/>
      <c r="C4" s="54" t="s">
        <v>157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2:20" ht="15">
      <c r="B5" s="54"/>
      <c r="C5" s="54" t="s">
        <v>236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ht="15.75" thickBot="1">
      <c r="D6" s="111"/>
    </row>
    <row r="7" spans="3:8" ht="47.25" customHeight="1">
      <c r="C7" s="308" t="s">
        <v>119</v>
      </c>
      <c r="D7" s="306" t="s">
        <v>120</v>
      </c>
      <c r="E7" s="306" t="s">
        <v>205</v>
      </c>
      <c r="F7" s="306" t="s">
        <v>147</v>
      </c>
      <c r="G7" s="364" t="s">
        <v>280</v>
      </c>
      <c r="H7" s="357" t="s">
        <v>308</v>
      </c>
    </row>
    <row r="8" spans="3:8" ht="32.25" customHeight="1" thickBot="1">
      <c r="C8" s="309"/>
      <c r="D8" s="307"/>
      <c r="E8" s="307" t="s">
        <v>139</v>
      </c>
      <c r="F8" s="311" t="s">
        <v>133</v>
      </c>
      <c r="G8" s="391"/>
      <c r="H8" s="357"/>
    </row>
    <row r="9" spans="3:7" ht="19.5" thickBot="1">
      <c r="C9" s="110">
        <v>1</v>
      </c>
      <c r="D9" s="110">
        <v>2</v>
      </c>
      <c r="E9" s="110">
        <v>3</v>
      </c>
      <c r="F9" s="110">
        <v>4</v>
      </c>
      <c r="G9" s="110">
        <v>5</v>
      </c>
    </row>
    <row r="10" spans="3:7" ht="19.5" thickBot="1">
      <c r="C10" s="361" t="s">
        <v>265</v>
      </c>
      <c r="D10" s="362"/>
      <c r="E10" s="362"/>
      <c r="F10" s="362"/>
      <c r="G10" s="363"/>
    </row>
    <row r="11" spans="2:7" ht="19.5" thickBot="1">
      <c r="B11" s="105"/>
      <c r="C11" s="120" t="s">
        <v>23</v>
      </c>
      <c r="D11" s="155"/>
      <c r="E11" s="155"/>
      <c r="F11" s="232"/>
      <c r="G11" s="268">
        <f>E11*F11/1000</f>
        <v>0</v>
      </c>
    </row>
    <row r="12" spans="2:7" ht="19.5" thickBot="1">
      <c r="B12" s="105"/>
      <c r="C12" s="120" t="s">
        <v>27</v>
      </c>
      <c r="D12" s="155"/>
      <c r="E12" s="155"/>
      <c r="F12" s="232"/>
      <c r="G12" s="268">
        <f>E12*F12/1000</f>
        <v>0</v>
      </c>
    </row>
    <row r="13" spans="2:7" ht="19.5" thickBot="1">
      <c r="B13" s="105"/>
      <c r="C13" s="120" t="s">
        <v>28</v>
      </c>
      <c r="D13" s="155"/>
      <c r="E13" s="155"/>
      <c r="F13" s="232"/>
      <c r="G13" s="268">
        <f>E13*F13/1000</f>
        <v>0</v>
      </c>
    </row>
    <row r="14" spans="2:7" ht="19.5" thickBot="1">
      <c r="B14" s="105"/>
      <c r="C14" s="120" t="s">
        <v>31</v>
      </c>
      <c r="D14" s="155"/>
      <c r="E14" s="155"/>
      <c r="F14" s="232"/>
      <c r="G14" s="268">
        <f>E14*F14/1000</f>
        <v>0</v>
      </c>
    </row>
    <row r="15" spans="2:7" ht="19.5" thickBot="1">
      <c r="B15" s="105"/>
      <c r="C15" s="120"/>
      <c r="D15" s="143" t="s">
        <v>123</v>
      </c>
      <c r="E15" s="153">
        <f>SUM(E11:E14)</f>
        <v>0</v>
      </c>
      <c r="F15" s="72"/>
      <c r="G15" s="268">
        <f>SUM(G11:G14)</f>
        <v>0</v>
      </c>
    </row>
    <row r="16" spans="3:7" ht="19.5" customHeight="1" thickBot="1">
      <c r="C16" s="358" t="s">
        <v>331</v>
      </c>
      <c r="D16" s="359"/>
      <c r="E16" s="359"/>
      <c r="F16" s="359"/>
      <c r="G16" s="360"/>
    </row>
    <row r="17" spans="3:7" ht="19.5" thickBot="1">
      <c r="C17" s="100" t="s">
        <v>23</v>
      </c>
      <c r="D17" s="155"/>
      <c r="E17" s="155"/>
      <c r="F17" s="232"/>
      <c r="G17" s="240">
        <f>E17*F17/1000</f>
        <v>0</v>
      </c>
    </row>
    <row r="18" spans="3:7" ht="19.5" thickBot="1">
      <c r="C18" s="100" t="s">
        <v>27</v>
      </c>
      <c r="D18" s="155"/>
      <c r="E18" s="155"/>
      <c r="F18" s="232"/>
      <c r="G18" s="240">
        <f>E18*F18/1000</f>
        <v>0</v>
      </c>
    </row>
    <row r="19" spans="3:7" ht="19.5" thickBot="1">
      <c r="C19" s="100" t="s">
        <v>28</v>
      </c>
      <c r="D19" s="155"/>
      <c r="E19" s="155"/>
      <c r="F19" s="232"/>
      <c r="G19" s="240">
        <f>E19*F19/1000</f>
        <v>0</v>
      </c>
    </row>
    <row r="20" spans="3:7" ht="19.5" thickBot="1">
      <c r="C20" s="100" t="s">
        <v>31</v>
      </c>
      <c r="D20" s="155"/>
      <c r="E20" s="155"/>
      <c r="F20" s="232"/>
      <c r="G20" s="240">
        <f>E20*F20/1000</f>
        <v>0</v>
      </c>
    </row>
    <row r="21" spans="3:7" ht="19.5" thickBot="1">
      <c r="C21" s="100"/>
      <c r="D21" s="143" t="s">
        <v>123</v>
      </c>
      <c r="E21" s="153">
        <f>SUM(E17:E20)</f>
        <v>0</v>
      </c>
      <c r="F21" s="238"/>
      <c r="G21" s="240">
        <f>SUM(G17:G20)</f>
        <v>0</v>
      </c>
    </row>
    <row r="22" spans="3:7" ht="19.5" thickBot="1">
      <c r="C22" s="358" t="s">
        <v>332</v>
      </c>
      <c r="D22" s="359"/>
      <c r="E22" s="359"/>
      <c r="F22" s="359"/>
      <c r="G22" s="360"/>
    </row>
    <row r="23" spans="3:7" ht="19.5" thickBot="1">
      <c r="C23" s="100" t="s">
        <v>23</v>
      </c>
      <c r="D23" s="155"/>
      <c r="E23" s="155"/>
      <c r="F23" s="232"/>
      <c r="G23" s="240">
        <f>E23*F23/1000</f>
        <v>0</v>
      </c>
    </row>
    <row r="24" spans="3:7" ht="19.5" thickBot="1">
      <c r="C24" s="100" t="s">
        <v>27</v>
      </c>
      <c r="D24" s="155"/>
      <c r="E24" s="155"/>
      <c r="F24" s="232"/>
      <c r="G24" s="240">
        <f>E24*F24/1000</f>
        <v>0</v>
      </c>
    </row>
    <row r="25" spans="3:7" ht="19.5" thickBot="1">
      <c r="C25" s="100" t="s">
        <v>28</v>
      </c>
      <c r="D25" s="155"/>
      <c r="E25" s="155"/>
      <c r="F25" s="232"/>
      <c r="G25" s="240">
        <f>E25*F25/1000</f>
        <v>0</v>
      </c>
    </row>
    <row r="26" spans="3:7" ht="19.5" thickBot="1">
      <c r="C26" s="100" t="s">
        <v>31</v>
      </c>
      <c r="D26" s="155"/>
      <c r="E26" s="155"/>
      <c r="F26" s="232"/>
      <c r="G26" s="240">
        <f>E26*F26/1000</f>
        <v>0</v>
      </c>
    </row>
    <row r="27" spans="3:7" ht="19.5" thickBot="1">
      <c r="C27" s="100"/>
      <c r="D27" s="143" t="s">
        <v>123</v>
      </c>
      <c r="E27" s="153">
        <f>SUM(E23:E26)</f>
        <v>0</v>
      </c>
      <c r="F27" s="238"/>
      <c r="G27" s="240">
        <f>SUM(G23:G26)</f>
        <v>0</v>
      </c>
    </row>
    <row r="29" spans="1:7" ht="18.75">
      <c r="A29" s="121" t="s">
        <v>291</v>
      </c>
      <c r="B29" s="115"/>
      <c r="C29" s="114"/>
      <c r="D29" s="114"/>
      <c r="E29" s="114"/>
      <c r="F29" s="114"/>
      <c r="G29" s="114"/>
    </row>
  </sheetData>
  <sheetProtection/>
  <mergeCells count="5">
    <mergeCell ref="G7:G8"/>
    <mergeCell ref="C16:G16"/>
    <mergeCell ref="C22:G22"/>
    <mergeCell ref="C10:G10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2015-08-25T12:44:22Z</cp:lastPrinted>
  <dcterms:created xsi:type="dcterms:W3CDTF">2006-09-28T05:33:49Z</dcterms:created>
  <dcterms:modified xsi:type="dcterms:W3CDTF">2021-08-03T08:04:27Z</dcterms:modified>
  <cp:category/>
  <cp:version/>
  <cp:contentType/>
  <cp:contentStatus/>
</cp:coreProperties>
</file>